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2"/>
  </bookViews>
  <sheets>
    <sheet name="2014-15" sheetId="1" r:id="rId1"/>
    <sheet name="2015-16" sheetId="2" r:id="rId2"/>
    <sheet name="2016-17" sheetId="3" r:id="rId3"/>
    <sheet name="2017-18" sheetId="4" r:id="rId4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'2014-15'!$A$1:$O$126</definedName>
    <definedName name="_xlnm.Print_Area" localSheetId="1">'2015-16'!$A$1:$M$128</definedName>
    <definedName name="_xlnm.Print_Area" localSheetId="2">'2016-17'!$A$1:$M$128</definedName>
    <definedName name="_xlnm.Print_Area" localSheetId="3">'2017-18'!$A$1:$M$128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comments1.xml><?xml version="1.0" encoding="utf-8"?>
<comments xmlns="http://schemas.openxmlformats.org/spreadsheetml/2006/main">
  <authors>
    <author>marie.molyneux</author>
  </authors>
  <commentList>
    <comment ref="E106" authorId="0">
      <text>
        <r>
          <rPr>
            <b/>
            <sz val="9"/>
            <rFont val="Tahoma"/>
            <family val="2"/>
          </rPr>
          <t>marie.molyneux:</t>
        </r>
        <r>
          <rPr>
            <sz val="9"/>
            <rFont val="Tahoma"/>
            <family val="2"/>
          </rPr>
          <t xml:space="preserve">
Have manually adjusted to lower by £159k as NK figures doesn’t include this.
</t>
        </r>
      </text>
    </comment>
  </commentList>
</comments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<sst xmlns="http://schemas.openxmlformats.org/spreadsheetml/2006/main" count="488" uniqueCount="117">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</sst>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171" fontId="0" fillId="33" borderId="1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183" fontId="0" fillId="0" borderId="11" xfId="59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83" fontId="1" fillId="0" borderId="11" xfId="59" applyNumberFormat="1" applyFont="1" applyFill="1" applyBorder="1" applyAlignment="1">
      <alignment horizontal="center" vertical="top"/>
    </xf>
    <xf numFmtId="183" fontId="0" fillId="0" borderId="11" xfId="59" applyNumberFormat="1" applyFont="1" applyFill="1" applyBorder="1" applyAlignment="1">
      <alignment horizontal="center" vertical="top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C5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O126" sqref="A1:O126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-21.462999999999994</v>
      </c>
      <c r="D5" s="25">
        <f>+D7+D14+D20</f>
        <v>366.7380000000012</v>
      </c>
      <c r="E5" s="30">
        <f>+E7+E14+E20</f>
        <v>0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-131</v>
      </c>
      <c r="J5" s="30">
        <f t="shared" si="0"/>
        <v>2</v>
      </c>
      <c r="K5" s="26">
        <f t="shared" si="0"/>
        <v>-613</v>
      </c>
      <c r="L5" s="30">
        <f t="shared" si="0"/>
        <v>-13</v>
      </c>
      <c r="M5" s="26">
        <f t="shared" si="0"/>
        <v>350</v>
      </c>
      <c r="N5" s="72">
        <f>+N7+N14+N20</f>
        <v>108.7380000000012</v>
      </c>
      <c r="O5" s="85">
        <f>+(N5-B5)/B5</f>
        <v>-0.7198925299007439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-9.211</v>
      </c>
      <c r="D7" s="9">
        <f>+SUM(D8:D12)</f>
        <v>1629.5030000000002</v>
      </c>
      <c r="E7" s="34">
        <f>+SUM(E8:E12)</f>
        <v>0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1787.5030000000002</v>
      </c>
      <c r="O7" s="87">
        <f aca="true" t="shared" si="2" ref="O7:O12">+(N7-B7)/B7</f>
        <v>0.09079619750609318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/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12.565999999999999</v>
      </c>
      <c r="O8" s="88">
        <f t="shared" si="2"/>
        <v>-0.5084878354063992</v>
      </c>
    </row>
    <row r="9" spans="1:15" ht="12.75">
      <c r="A9" s="2" t="s">
        <v>44</v>
      </c>
      <c r="B9" s="73">
        <v>92.614</v>
      </c>
      <c r="C9" s="36">
        <v>-15.389</v>
      </c>
      <c r="D9" s="12">
        <f>B9+C9</f>
        <v>77.22500000000001</v>
      </c>
      <c r="E9" s="36"/>
      <c r="F9" s="13"/>
      <c r="G9" s="13"/>
      <c r="H9" s="36"/>
      <c r="I9" s="13"/>
      <c r="J9" s="36"/>
      <c r="K9" s="13"/>
      <c r="L9" s="36"/>
      <c r="M9" s="13"/>
      <c r="N9" s="73">
        <f>+D9+SUM(E9:M9)</f>
        <v>77.22500000000001</v>
      </c>
      <c r="O9" s="88">
        <f t="shared" si="2"/>
        <v>-0.1661627831645323</v>
      </c>
    </row>
    <row r="10" spans="1:15" ht="12.75">
      <c r="A10" s="2" t="s">
        <v>68</v>
      </c>
      <c r="B10" s="73">
        <v>512.2</v>
      </c>
      <c r="C10" s="36">
        <v>8.151</v>
      </c>
      <c r="D10" s="12">
        <f>B10+C10</f>
        <v>520.351</v>
      </c>
      <c r="E10" s="36"/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582.351</v>
      </c>
      <c r="O10" s="88">
        <f t="shared" si="2"/>
        <v>0.13696017180788744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/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-31.374</v>
      </c>
      <c r="O11" s="88">
        <f t="shared" si="2"/>
        <v>0</v>
      </c>
    </row>
    <row r="12" spans="1:15" ht="12.75">
      <c r="A12" s="2" t="s">
        <v>61</v>
      </c>
      <c r="B12" s="73">
        <v>1039.708</v>
      </c>
      <c r="C12" s="36">
        <v>-1.973</v>
      </c>
      <c r="D12" s="12">
        <f>B12+C12</f>
        <v>1037.7350000000001</v>
      </c>
      <c r="E12" s="36"/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1146.7350000000001</v>
      </c>
      <c r="O12" s="88">
        <f t="shared" si="2"/>
        <v>0.1029394791614569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-87.43199999999999</v>
      </c>
      <c r="D14" s="9">
        <f>+SUM(D15:D18)</f>
        <v>-4803.236999999999</v>
      </c>
      <c r="E14" s="33">
        <f>+SUM(E15:E18)</f>
        <v>0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-5070.236999999999</v>
      </c>
      <c r="O14" s="87">
        <f>+(N14-B14)/B14</f>
        <v>0.07515832397650006</v>
      </c>
    </row>
    <row r="15" spans="1:15" ht="12.75">
      <c r="A15" s="4" t="s">
        <v>62</v>
      </c>
      <c r="B15" s="38">
        <v>-5805.926</v>
      </c>
      <c r="C15" s="39">
        <v>-89.583</v>
      </c>
      <c r="D15" s="12">
        <f>B15+C15</f>
        <v>-5895.509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-6212.509</v>
      </c>
      <c r="O15" s="88">
        <f>+(N15-B15)/B15</f>
        <v>0.07002896695548645</v>
      </c>
    </row>
    <row r="16" spans="1:15" ht="12.75">
      <c r="A16" s="4" t="s">
        <v>63</v>
      </c>
      <c r="B16" s="38">
        <v>479.877</v>
      </c>
      <c r="C16" s="39"/>
      <c r="D16" s="12">
        <f>B16+C16</f>
        <v>479.877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479.877</v>
      </c>
      <c r="O16" s="88">
        <f>+(N16-B16)/B16</f>
        <v>0</v>
      </c>
    </row>
    <row r="17" spans="1:15" ht="12.75">
      <c r="A17" s="4" t="s">
        <v>64</v>
      </c>
      <c r="B17" s="38">
        <v>306.045</v>
      </c>
      <c r="C17" s="39">
        <v>2.272</v>
      </c>
      <c r="D17" s="12">
        <f>B17+C17</f>
        <v>308.317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308.317</v>
      </c>
      <c r="O17" s="88">
        <f>+(N17-B17)/B17</f>
        <v>0.007423744874119791</v>
      </c>
    </row>
    <row r="18" spans="1:15" ht="12.75">
      <c r="A18" s="4" t="s">
        <v>68</v>
      </c>
      <c r="B18" s="38">
        <v>304.199</v>
      </c>
      <c r="C18" s="39">
        <f>0.518-0.639</f>
        <v>-0.121</v>
      </c>
      <c r="D18" s="12">
        <f>B18+C18</f>
        <v>304.07800000000003</v>
      </c>
      <c r="E18" s="39"/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354.07800000000003</v>
      </c>
      <c r="O18" s="88">
        <f>+(N18-B18)/B18</f>
        <v>0.16396832336726952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75.17999999999999</v>
      </c>
      <c r="D20" s="9">
        <f>+SUM(D21:D23)</f>
        <v>3540.472</v>
      </c>
      <c r="E20" s="33">
        <f>+SUM(E21:E23)</f>
        <v>0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-53</v>
      </c>
      <c r="J20" s="19">
        <f t="shared" si="4"/>
        <v>0</v>
      </c>
      <c r="K20" s="19">
        <f t="shared" si="4"/>
        <v>-100</v>
      </c>
      <c r="L20" s="19">
        <f t="shared" si="4"/>
        <v>0</v>
      </c>
      <c r="M20" s="33">
        <f t="shared" si="4"/>
        <v>0</v>
      </c>
      <c r="N20" s="9">
        <f>+SUM(N21:N23)</f>
        <v>3391.472</v>
      </c>
      <c r="O20" s="87">
        <f>+(N20-B20)/B20</f>
        <v>-0.02130267810043128</v>
      </c>
    </row>
    <row r="21" spans="1:15" ht="12.75">
      <c r="A21" s="3" t="s">
        <v>17</v>
      </c>
      <c r="B21" s="38">
        <v>585.119</v>
      </c>
      <c r="C21" s="39">
        <v>80</v>
      </c>
      <c r="D21" s="12">
        <f>B21+C21</f>
        <v>665.119</v>
      </c>
      <c r="E21" s="39"/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660.119</v>
      </c>
      <c r="O21" s="88">
        <f>+(N21-B21)/B21</f>
        <v>0.1281790541753045</v>
      </c>
    </row>
    <row r="22" spans="1:15" ht="12.75">
      <c r="A22" s="3" t="s">
        <v>18</v>
      </c>
      <c r="B22" s="38">
        <v>2872.687</v>
      </c>
      <c r="C22" s="39">
        <v>-5.459</v>
      </c>
      <c r="D22" s="12">
        <f>B22+C22</f>
        <v>2867.228</v>
      </c>
      <c r="E22" s="39"/>
      <c r="F22" s="15"/>
      <c r="G22" s="15"/>
      <c r="H22" s="39"/>
      <c r="I22" s="15">
        <f>-36+-10</f>
        <v>-46</v>
      </c>
      <c r="J22" s="39"/>
      <c r="K22" s="15"/>
      <c r="L22" s="39"/>
      <c r="M22" s="15"/>
      <c r="N22" s="73">
        <f>+D22+SUM(E22:M22)</f>
        <v>2821.228</v>
      </c>
      <c r="O22" s="88">
        <f>+(N22-B22)/B22</f>
        <v>-0.017913194162816844</v>
      </c>
    </row>
    <row r="23" spans="1:15" ht="12.75">
      <c r="A23" s="3" t="s">
        <v>106</v>
      </c>
      <c r="B23" s="38">
        <v>7.486</v>
      </c>
      <c r="C23" s="39">
        <v>0.639</v>
      </c>
      <c r="D23" s="12">
        <f>B23+C23</f>
        <v>8.125</v>
      </c>
      <c r="E23" s="39"/>
      <c r="F23" s="15"/>
      <c r="G23" s="15"/>
      <c r="H23" s="39">
        <v>4</v>
      </c>
      <c r="I23" s="15">
        <v>-2</v>
      </c>
      <c r="J23" s="39"/>
      <c r="K23" s="15">
        <v>-100</v>
      </c>
      <c r="L23" s="39"/>
      <c r="M23" s="15"/>
      <c r="N23" s="73">
        <f>+D23+SUM(E23:M23)</f>
        <v>-89.875</v>
      </c>
      <c r="O23" s="88">
        <f>+(N23-B23)/B23</f>
        <v>-13.0057440555704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31.5">
      <c r="A25" s="57" t="s">
        <v>75</v>
      </c>
      <c r="B25" s="72">
        <f aca="true" t="shared" si="5" ref="B25:N25">+B27+B34+B41+B48+B55</f>
        <v>5015.642</v>
      </c>
      <c r="C25" s="30">
        <f t="shared" si="5"/>
        <v>-20.218899999999998</v>
      </c>
      <c r="D25" s="25">
        <f t="shared" si="5"/>
        <v>4995.4231</v>
      </c>
      <c r="E25" s="30">
        <f t="shared" si="5"/>
        <v>0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65</v>
      </c>
      <c r="N25" s="72">
        <f t="shared" si="5"/>
        <v>5188.4231</v>
      </c>
      <c r="O25" s="85">
        <f>+(N25-B25)/B25</f>
        <v>0.03444845146443868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0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232.74</v>
      </c>
      <c r="O27" s="87">
        <f aca="true" t="shared" si="7" ref="O27:O32">+(N27-B27)/B27</f>
        <v>-0.11078338478466845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/>
      <c r="F28" s="15"/>
      <c r="G28" s="15"/>
      <c r="H28" s="39"/>
      <c r="I28" s="15"/>
      <c r="J28" s="39"/>
      <c r="K28" s="15"/>
      <c r="L28" s="39"/>
      <c r="M28" s="15"/>
      <c r="N28" s="73">
        <f>+D28+SUM(E28:M28)</f>
        <v>22.437</v>
      </c>
      <c r="O28" s="88">
        <f t="shared" si="7"/>
        <v>0.3650301149844862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/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171.51899999999998</v>
      </c>
      <c r="O31" s="88">
        <f t="shared" si="7"/>
        <v>-0.014343591069735422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/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-17.563</v>
      </c>
      <c r="O32" s="88">
        <f t="shared" si="7"/>
        <v>-3.36157052574963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60.9251</v>
      </c>
      <c r="D34" s="9">
        <f t="shared" si="8"/>
        <v>763.8960999999999</v>
      </c>
      <c r="E34" s="33">
        <f t="shared" si="8"/>
        <v>0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0</v>
      </c>
      <c r="N34" s="32">
        <f t="shared" si="9"/>
        <v>776.8960999999999</v>
      </c>
      <c r="O34" s="87">
        <f aca="true" t="shared" si="10" ref="O34:O39">+(N34-B34)/B34</f>
        <v>0.10516095258552619</v>
      </c>
    </row>
    <row r="35" spans="1:15" ht="12.75">
      <c r="A35" s="99" t="s">
        <v>94</v>
      </c>
      <c r="B35" s="38">
        <v>44.109</v>
      </c>
      <c r="C35" s="39"/>
      <c r="D35" s="12">
        <f>B35+C35</f>
        <v>44.109</v>
      </c>
      <c r="E35" s="39"/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8.109000000000002</v>
      </c>
      <c r="O35" s="88">
        <f t="shared" si="10"/>
        <v>-0.8161599673536013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/>
      <c r="N36" s="73">
        <f>+D36+SUM(E36:M36)</f>
        <v>385.43399999999997</v>
      </c>
      <c r="O36" s="88">
        <f t="shared" si="10"/>
        <v>0.00339207197544587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0.0731</v>
      </c>
      <c r="D38" s="12">
        <f>B38+C38</f>
        <v>54.184099999999994</v>
      </c>
      <c r="E38" s="39"/>
      <c r="F38" s="15"/>
      <c r="G38" s="15"/>
      <c r="H38" s="39"/>
      <c r="I38" s="15"/>
      <c r="J38" s="39"/>
      <c r="K38" s="15"/>
      <c r="L38" s="39"/>
      <c r="M38" s="15"/>
      <c r="N38" s="73">
        <f>+D38+SUM(E38:M38)</f>
        <v>54.184099999999994</v>
      </c>
      <c r="O38" s="88">
        <f t="shared" si="10"/>
        <v>0.0013509267986175938</v>
      </c>
    </row>
    <row r="39" spans="1:15" ht="12.75">
      <c r="A39" s="3" t="s">
        <v>77</v>
      </c>
      <c r="B39" s="38">
        <v>310.014</v>
      </c>
      <c r="C39" s="39">
        <v>60.903</v>
      </c>
      <c r="D39" s="12">
        <f>B39+C39</f>
        <v>370.91700000000003</v>
      </c>
      <c r="E39" s="39"/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419.91700000000003</v>
      </c>
      <c r="O39" s="88">
        <f t="shared" si="10"/>
        <v>0.3545097963317786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0</v>
      </c>
      <c r="D41" s="9">
        <f>+SUM(D42:D46)</f>
        <v>3405.957</v>
      </c>
      <c r="E41" s="33">
        <f>+SUM(E42:E46)</f>
        <v>0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3529.957</v>
      </c>
      <c r="O41" s="87">
        <f aca="true" t="shared" si="12" ref="O41:O46">+(N41-B41)/B41</f>
        <v>0.03640680137770383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/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47.317</v>
      </c>
      <c r="O43" s="88">
        <f t="shared" si="12"/>
        <v>0.26797438164911436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/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1162.6609999999998</v>
      </c>
      <c r="O44" s="88">
        <f t="shared" si="12"/>
        <v>0.04399902663377815</v>
      </c>
    </row>
    <row r="45" spans="1:15" ht="12.75">
      <c r="A45" s="3" t="s">
        <v>53</v>
      </c>
      <c r="B45" s="38">
        <v>2205.114</v>
      </c>
      <c r="C45" s="39"/>
      <c r="D45" s="12">
        <f>B45+C45</f>
        <v>2205.114</v>
      </c>
      <c r="E45" s="39"/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2290.114</v>
      </c>
      <c r="O45" s="88">
        <f t="shared" si="12"/>
        <v>0.0385467599407559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8"/>
      <c r="P47" s="109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-80.478</v>
      </c>
      <c r="D48" s="9">
        <f t="shared" si="13"/>
        <v>212.488</v>
      </c>
      <c r="E48" s="34">
        <f t="shared" si="13"/>
        <v>0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30</v>
      </c>
      <c r="N48" s="32">
        <f t="shared" si="14"/>
        <v>255.488</v>
      </c>
      <c r="O48" s="87">
        <f aca="true" t="shared" si="15" ref="O48:O53">+(N48-B48)/B48</f>
        <v>-0.12792610746639543</v>
      </c>
    </row>
    <row r="49" spans="1:15" ht="12.75">
      <c r="A49" s="2" t="s">
        <v>81</v>
      </c>
      <c r="B49" s="38">
        <v>219.356</v>
      </c>
      <c r="C49" s="39">
        <v>-50.139</v>
      </c>
      <c r="D49" s="12">
        <f>B49+C49</f>
        <v>169.21699999999998</v>
      </c>
      <c r="E49" s="39"/>
      <c r="F49" s="15"/>
      <c r="G49" s="15"/>
      <c r="H49" s="39">
        <v>-25</v>
      </c>
      <c r="I49" s="15"/>
      <c r="J49" s="39"/>
      <c r="K49" s="15">
        <v>-20</v>
      </c>
      <c r="L49" s="39"/>
      <c r="M49" s="15">
        <v>5</v>
      </c>
      <c r="N49" s="73">
        <f>+D49+SUM(E49:M49)</f>
        <v>129.21699999999998</v>
      </c>
      <c r="O49" s="88">
        <f t="shared" si="15"/>
        <v>-0.4109256186290779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50.139</v>
      </c>
      <c r="D51" s="12">
        <f>B51+C51</f>
        <v>-5.283999999999999</v>
      </c>
      <c r="E51" s="39"/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/>
      <c r="N51" s="73">
        <f>+D51+SUM(E51:M51)</f>
        <v>-5.283999999999999</v>
      </c>
      <c r="O51" s="88">
        <f t="shared" si="15"/>
        <v>-0.9046605200007217</v>
      </c>
    </row>
    <row r="52" spans="1:15" ht="12.75">
      <c r="A52" s="2" t="s">
        <v>38</v>
      </c>
      <c r="B52" s="38">
        <v>4.587</v>
      </c>
      <c r="C52" s="39"/>
      <c r="D52" s="12">
        <f>B52+C52</f>
        <v>4.587</v>
      </c>
      <c r="E52" s="39"/>
      <c r="F52" s="15"/>
      <c r="G52" s="15"/>
      <c r="H52" s="39"/>
      <c r="I52" s="15"/>
      <c r="J52" s="39"/>
      <c r="K52" s="15"/>
      <c r="L52" s="39"/>
      <c r="M52" s="15"/>
      <c r="N52" s="73">
        <f>+D52+SUM(E52:M52)</f>
        <v>4.587</v>
      </c>
      <c r="O52" s="88">
        <f t="shared" si="15"/>
        <v>0</v>
      </c>
    </row>
    <row r="53" spans="1:15" ht="12.75">
      <c r="A53" s="20" t="s">
        <v>83</v>
      </c>
      <c r="B53" s="38">
        <v>124.406</v>
      </c>
      <c r="C53" s="39">
        <v>-80.478</v>
      </c>
      <c r="D53" s="12">
        <f>B53+C53</f>
        <v>43.92800000000001</v>
      </c>
      <c r="E53" s="39"/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126.92800000000001</v>
      </c>
      <c r="O53" s="88">
        <f t="shared" si="15"/>
        <v>0.020272334131794332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-0.67</v>
      </c>
      <c r="D55" s="9">
        <f>+SUM(D56:D61)</f>
        <v>351.34200000000004</v>
      </c>
      <c r="E55" s="34">
        <f>+SUM(E56:E61)</f>
        <v>0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393.342</v>
      </c>
      <c r="O55" s="87">
        <f>+(N55-B55)/B55</f>
        <v>0.11741077008738333</v>
      </c>
    </row>
    <row r="56" spans="1:15" ht="12.75">
      <c r="A56" s="3" t="s">
        <v>1</v>
      </c>
      <c r="B56" s="38">
        <v>2.104</v>
      </c>
      <c r="C56" s="39"/>
      <c r="D56" s="12">
        <f aca="true" t="shared" si="17" ref="D56:D61">B56+C56</f>
        <v>2.104</v>
      </c>
      <c r="E56" s="39"/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-0.8959999999999999</v>
      </c>
      <c r="O56" s="88">
        <f aca="true" t="shared" si="19" ref="O56:O61">+(N56-B56)/B56</f>
        <v>-1.4258555133079847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/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215.981</v>
      </c>
      <c r="O57" s="88">
        <f t="shared" si="19"/>
        <v>0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/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163.98399999999998</v>
      </c>
      <c r="O58" s="88">
        <f>+(N58-B58)/B58</f>
        <v>0.37820211120822955</v>
      </c>
    </row>
    <row r="59" spans="1:15" ht="12.75">
      <c r="A59" s="3" t="s">
        <v>49</v>
      </c>
      <c r="B59" s="38">
        <v>2.7</v>
      </c>
      <c r="C59" s="39">
        <v>-0.234</v>
      </c>
      <c r="D59" s="12">
        <f t="shared" si="17"/>
        <v>2.466</v>
      </c>
      <c r="E59" s="39"/>
      <c r="F59" s="15"/>
      <c r="G59" s="15"/>
      <c r="H59" s="39"/>
      <c r="I59" s="15"/>
      <c r="J59" s="39"/>
      <c r="K59" s="15"/>
      <c r="L59" s="39"/>
      <c r="M59" s="15"/>
      <c r="N59" s="73">
        <f t="shared" si="18"/>
        <v>2.466</v>
      </c>
      <c r="O59" s="88">
        <f t="shared" si="19"/>
        <v>-0.08666666666666666</v>
      </c>
    </row>
    <row r="60" spans="1:15" ht="12.75">
      <c r="A60" s="3" t="s">
        <v>50</v>
      </c>
      <c r="B60" s="38">
        <v>0.29</v>
      </c>
      <c r="C60" s="39"/>
      <c r="D60" s="12">
        <f t="shared" si="17"/>
        <v>0.29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0.29</v>
      </c>
      <c r="O60" s="88">
        <f t="shared" si="19"/>
        <v>0</v>
      </c>
    </row>
    <row r="61" spans="1:15" ht="12.75">
      <c r="A61" s="3" t="s">
        <v>51</v>
      </c>
      <c r="B61" s="38">
        <v>11.953</v>
      </c>
      <c r="C61" s="39">
        <v>-0.436</v>
      </c>
      <c r="D61" s="12">
        <f t="shared" si="17"/>
        <v>11.517</v>
      </c>
      <c r="E61" s="39"/>
      <c r="F61" s="15"/>
      <c r="G61" s="15"/>
      <c r="H61" s="39"/>
      <c r="I61" s="15"/>
      <c r="J61" s="39"/>
      <c r="K61" s="15"/>
      <c r="L61" s="39"/>
      <c r="M61" s="15"/>
      <c r="N61" s="73">
        <f t="shared" si="18"/>
        <v>11.517</v>
      </c>
      <c r="O61" s="88">
        <f t="shared" si="19"/>
        <v>-0.036476198443905296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-116.97099999999995</v>
      </c>
      <c r="D63" s="25">
        <f t="shared" si="20"/>
        <v>14376.399000000001</v>
      </c>
      <c r="E63" s="26">
        <f t="shared" si="20"/>
        <v>0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-613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35</v>
      </c>
      <c r="N63" s="25">
        <f t="shared" si="20"/>
        <v>13540.399</v>
      </c>
      <c r="O63" s="85">
        <f>+(N63-B63)/B63</f>
        <v>-0.06575220255882526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-4.749</v>
      </c>
      <c r="D65" s="9">
        <f t="shared" si="21"/>
        <v>2957.1859999999997</v>
      </c>
      <c r="E65" s="33">
        <f t="shared" si="21"/>
        <v>0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2761.1859999999997</v>
      </c>
      <c r="O65" s="87">
        <f aca="true" t="shared" si="22" ref="O65:O70">+(N65-B65)/B65</f>
        <v>-0.06777630164065039</v>
      </c>
    </row>
    <row r="66" spans="1:15" ht="12.75">
      <c r="A66" s="2" t="s">
        <v>96</v>
      </c>
      <c r="B66" s="38">
        <v>629.319</v>
      </c>
      <c r="C66" s="39">
        <v>-13.449</v>
      </c>
      <c r="D66" s="12">
        <f>B66+C66</f>
        <v>615.87</v>
      </c>
      <c r="E66" s="39"/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562.87</v>
      </c>
      <c r="O66" s="88">
        <f t="shared" si="22"/>
        <v>-0.10558873957404744</v>
      </c>
    </row>
    <row r="67" spans="1:15" ht="12.75">
      <c r="A67" s="2" t="s">
        <v>47</v>
      </c>
      <c r="B67" s="38">
        <v>604.803</v>
      </c>
      <c r="C67" s="39"/>
      <c r="D67" s="12">
        <f>B67+C67</f>
        <v>604.803</v>
      </c>
      <c r="E67" s="39"/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568.803</v>
      </c>
      <c r="O67" s="88">
        <f t="shared" si="22"/>
        <v>-0.0595235142682824</v>
      </c>
    </row>
    <row r="68" spans="1:15" ht="12.75">
      <c r="A68" s="2" t="s">
        <v>97</v>
      </c>
      <c r="B68" s="38">
        <v>1423.202</v>
      </c>
      <c r="C68" s="39">
        <v>10.545</v>
      </c>
      <c r="D68" s="12">
        <f>B68+C68</f>
        <v>1433.747</v>
      </c>
      <c r="E68" s="39"/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1380.747</v>
      </c>
      <c r="O68" s="88">
        <f t="shared" si="22"/>
        <v>-0.029830621373494366</v>
      </c>
    </row>
    <row r="69" spans="1:15" ht="12.75">
      <c r="A69" s="2" t="s">
        <v>105</v>
      </c>
      <c r="B69" s="38">
        <v>88.557</v>
      </c>
      <c r="C69" s="39"/>
      <c r="D69" s="12">
        <f>B69+C69</f>
        <v>88.557</v>
      </c>
      <c r="E69" s="39"/>
      <c r="F69" s="15"/>
      <c r="G69" s="15"/>
      <c r="H69" s="39"/>
      <c r="I69" s="15"/>
      <c r="J69" s="39"/>
      <c r="K69" s="15"/>
      <c r="L69" s="39"/>
      <c r="M69" s="15"/>
      <c r="N69" s="73">
        <f>+D69+SUM(E69:M69)</f>
        <v>88.557</v>
      </c>
      <c r="O69" s="88">
        <f>+(N69-B69)/B69</f>
        <v>0</v>
      </c>
    </row>
    <row r="70" spans="1:15" ht="12.75">
      <c r="A70" s="2" t="s">
        <v>98</v>
      </c>
      <c r="B70" s="38">
        <v>216.054</v>
      </c>
      <c r="C70" s="39">
        <v>-1.845</v>
      </c>
      <c r="D70" s="12">
        <f>B70+C70</f>
        <v>214.209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160.209</v>
      </c>
      <c r="O70" s="88">
        <f t="shared" si="22"/>
        <v>-0.2584770474048155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43.86500000000004</v>
      </c>
      <c r="D72" s="9">
        <f>+SUM(D73:D84)</f>
        <v>2958.1660000000006</v>
      </c>
      <c r="E72" s="33">
        <f>+SUM(E73:E84)</f>
        <v>0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50</v>
      </c>
      <c r="N72" s="32">
        <f t="shared" si="23"/>
        <v>2792.166</v>
      </c>
      <c r="O72" s="87">
        <f>+(N72-B72)/B72</f>
        <v>-0.04190884881143047</v>
      </c>
    </row>
    <row r="73" spans="1:15" ht="12.75">
      <c r="A73" s="21" t="s">
        <v>86</v>
      </c>
      <c r="B73" s="38">
        <v>-2514.73</v>
      </c>
      <c r="C73" s="39">
        <f>615.232-150.791</f>
        <v>464.441</v>
      </c>
      <c r="D73" s="12">
        <f aca="true" t="shared" si="24" ref="D73:D84">B73+C73</f>
        <v>-2050.289</v>
      </c>
      <c r="E73" s="39"/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-2127.289</v>
      </c>
      <c r="O73" s="88">
        <f aca="true" t="shared" si="26" ref="O73:O83">+(N73-B73)/B73</f>
        <v>-0.15406862764591023</v>
      </c>
    </row>
    <row r="74" spans="1:15" ht="12.75">
      <c r="A74" s="21" t="s">
        <v>87</v>
      </c>
      <c r="B74" s="38">
        <v>-111.204</v>
      </c>
      <c r="C74" s="39">
        <f>346.821-675.146</f>
        <v>-328.32499999999993</v>
      </c>
      <c r="D74" s="12">
        <f t="shared" si="24"/>
        <v>-439.52899999999994</v>
      </c>
      <c r="E74" s="39"/>
      <c r="F74" s="15"/>
      <c r="G74" s="15"/>
      <c r="H74" s="39"/>
      <c r="I74" s="15"/>
      <c r="J74" s="39"/>
      <c r="K74" s="15"/>
      <c r="L74" s="39"/>
      <c r="M74" s="15"/>
      <c r="N74" s="73">
        <f t="shared" si="25"/>
        <v>-439.52899999999994</v>
      </c>
      <c r="O74" s="88">
        <f t="shared" si="26"/>
        <v>2.95245674616021</v>
      </c>
    </row>
    <row r="75" spans="1:15" ht="12.75">
      <c r="A75" s="21" t="s">
        <v>20</v>
      </c>
      <c r="B75" s="38">
        <v>-3368.749</v>
      </c>
      <c r="C75" s="39">
        <v>-4.37</v>
      </c>
      <c r="D75" s="12">
        <f t="shared" si="24"/>
        <v>-3373.1189999999997</v>
      </c>
      <c r="E75" s="39"/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-3671.1189999999997</v>
      </c>
      <c r="O75" s="88">
        <f>+(N75-B75)/B75</f>
        <v>0.0897573550300126</v>
      </c>
    </row>
    <row r="76" spans="1:15" ht="12.75">
      <c r="A76" s="21" t="s">
        <v>21</v>
      </c>
      <c r="B76" s="38">
        <v>3283.395</v>
      </c>
      <c r="C76" s="39">
        <v>-104.162</v>
      </c>
      <c r="D76" s="12">
        <f t="shared" si="24"/>
        <v>3179.233</v>
      </c>
      <c r="E76" s="39"/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3355.233</v>
      </c>
      <c r="O76" s="88">
        <f t="shared" si="26"/>
        <v>0.021879182979812114</v>
      </c>
    </row>
    <row r="77" spans="1:15" ht="12.75">
      <c r="A77" s="21" t="s">
        <v>88</v>
      </c>
      <c r="B77" s="38">
        <v>-1337.925</v>
      </c>
      <c r="C77" s="39">
        <v>182.526</v>
      </c>
      <c r="D77" s="12">
        <f t="shared" si="24"/>
        <v>-1155.399</v>
      </c>
      <c r="E77" s="39"/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-1193.399</v>
      </c>
      <c r="O77" s="88">
        <f t="shared" si="26"/>
        <v>-0.10802249752415126</v>
      </c>
    </row>
    <row r="78" spans="1:15" ht="12.75">
      <c r="A78" s="21" t="s">
        <v>66</v>
      </c>
      <c r="B78" s="38">
        <v>-107.373</v>
      </c>
      <c r="C78" s="39">
        <v>-24.693</v>
      </c>
      <c r="D78" s="12">
        <f t="shared" si="24"/>
        <v>-132.066</v>
      </c>
      <c r="E78" s="39"/>
      <c r="F78" s="15"/>
      <c r="G78" s="15">
        <v>12</v>
      </c>
      <c r="H78" s="39"/>
      <c r="I78" s="15"/>
      <c r="J78" s="39"/>
      <c r="K78" s="15">
        <v>-20</v>
      </c>
      <c r="L78" s="39"/>
      <c r="M78" s="15"/>
      <c r="N78" s="73">
        <f t="shared" si="25"/>
        <v>-140.066</v>
      </c>
      <c r="O78" s="88">
        <f t="shared" si="26"/>
        <v>0.3044806422471198</v>
      </c>
    </row>
    <row r="79" spans="1:15" ht="12.75">
      <c r="A79" s="21" t="s">
        <v>22</v>
      </c>
      <c r="B79" s="38">
        <v>4185.879</v>
      </c>
      <c r="C79" s="39">
        <v>-106.855</v>
      </c>
      <c r="D79" s="12">
        <f t="shared" si="24"/>
        <v>4079.024</v>
      </c>
      <c r="E79" s="39"/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4065.024</v>
      </c>
      <c r="O79" s="88">
        <f t="shared" si="26"/>
        <v>-0.028872072030749103</v>
      </c>
    </row>
    <row r="80" spans="1:15" ht="12.75">
      <c r="A80" s="21" t="s">
        <v>65</v>
      </c>
      <c r="B80" s="38">
        <v>-213.15</v>
      </c>
      <c r="C80" s="39">
        <v>-27.413</v>
      </c>
      <c r="D80" s="12">
        <f t="shared" si="24"/>
        <v>-240.56300000000002</v>
      </c>
      <c r="E80" s="39"/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-86.56300000000002</v>
      </c>
      <c r="O80" s="88">
        <f t="shared" si="26"/>
        <v>-0.5938869340839783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/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-55.171</v>
      </c>
      <c r="O81" s="88">
        <f t="shared" si="26"/>
        <v>-0.00018122179735775016</v>
      </c>
    </row>
    <row r="82" spans="1:15" ht="12.75" customHeight="1">
      <c r="A82" s="21" t="s">
        <v>89</v>
      </c>
      <c r="B82" s="38">
        <v>-190.283</v>
      </c>
      <c r="C82" s="39">
        <v>-49.122</v>
      </c>
      <c r="D82" s="12">
        <f t="shared" si="24"/>
        <v>-239.40499999999997</v>
      </c>
      <c r="E82" s="39"/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-239.40499999999997</v>
      </c>
      <c r="O82" s="88">
        <f t="shared" si="26"/>
        <v>0.2581523310017184</v>
      </c>
    </row>
    <row r="83" spans="1:15" ht="12.75" customHeight="1">
      <c r="A83" s="21" t="s">
        <v>24</v>
      </c>
      <c r="B83" s="38">
        <v>2156.251</v>
      </c>
      <c r="C83" s="39">
        <v>179.683</v>
      </c>
      <c r="D83" s="12">
        <f t="shared" si="24"/>
        <v>2335.934</v>
      </c>
      <c r="E83" s="39"/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2335.934</v>
      </c>
      <c r="O83" s="88">
        <f t="shared" si="26"/>
        <v>0.08333120773045437</v>
      </c>
    </row>
    <row r="84" spans="1:15" ht="12.75" customHeight="1">
      <c r="A84" s="21" t="s">
        <v>25</v>
      </c>
      <c r="B84" s="38">
        <v>1187.371</v>
      </c>
      <c r="C84" s="39">
        <v>-137.855</v>
      </c>
      <c r="D84" s="12">
        <f t="shared" si="24"/>
        <v>1049.516</v>
      </c>
      <c r="E84" s="39"/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988.5160000000001</v>
      </c>
      <c r="O84" s="88">
        <f>+(N84-B84)/B84</f>
        <v>-0.16747503518276932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-187.166</v>
      </c>
      <c r="D86" s="9">
        <f t="shared" si="27"/>
        <v>8014.393</v>
      </c>
      <c r="E86" s="11">
        <f t="shared" si="27"/>
        <v>0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-289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0</v>
      </c>
      <c r="N86" s="9">
        <f t="shared" si="27"/>
        <v>7537.393</v>
      </c>
      <c r="O86" s="87">
        <f>+(N86-B86)/B86</f>
        <v>-0.08098045749594672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/>
      <c r="F87" s="15"/>
      <c r="G87" s="15">
        <v>12</v>
      </c>
      <c r="H87" s="39"/>
      <c r="I87" s="15">
        <f>36+-300</f>
        <v>-264</v>
      </c>
      <c r="J87" s="39"/>
      <c r="K87" s="15"/>
      <c r="L87" s="39"/>
      <c r="M87" s="15"/>
      <c r="N87" s="73">
        <f aca="true" t="shared" si="29" ref="N87:N95">+D87+SUM(E87:M87)</f>
        <v>1832.8690000000001</v>
      </c>
      <c r="O87" s="88">
        <f aca="true" t="shared" si="30" ref="O87:O95">+(N87-B87)/B87</f>
        <v>-0.09901602371728409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/>
      <c r="F88" s="15"/>
      <c r="G88" s="15"/>
      <c r="H88" s="39"/>
      <c r="I88" s="15"/>
      <c r="J88" s="39"/>
      <c r="K88" s="15"/>
      <c r="L88" s="39"/>
      <c r="M88" s="15"/>
      <c r="N88" s="73">
        <f t="shared" si="29"/>
        <v>86.306</v>
      </c>
      <c r="O88" s="88">
        <f t="shared" si="30"/>
        <v>0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/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206.32500000000002</v>
      </c>
      <c r="O89" s="88">
        <f t="shared" si="30"/>
        <v>0.08925187019253615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-13.977</v>
      </c>
      <c r="D91" s="12">
        <f t="shared" si="28"/>
        <v>64.707</v>
      </c>
      <c r="E91" s="39"/>
      <c r="F91" s="15"/>
      <c r="G91" s="15"/>
      <c r="H91" s="39"/>
      <c r="I91" s="15"/>
      <c r="J91" s="39"/>
      <c r="K91" s="15"/>
      <c r="L91" s="39"/>
      <c r="M91" s="15"/>
      <c r="N91" s="73">
        <f t="shared" si="29"/>
        <v>64.707</v>
      </c>
      <c r="O91" s="88">
        <f t="shared" si="30"/>
        <v>-0.17763458898886691</v>
      </c>
    </row>
    <row r="92" spans="1:15" ht="12.75">
      <c r="A92" s="4" t="s">
        <v>59</v>
      </c>
      <c r="B92" s="38">
        <v>155.916</v>
      </c>
      <c r="C92" s="39">
        <v>-0.802</v>
      </c>
      <c r="D92" s="12">
        <f t="shared" si="28"/>
        <v>155.114</v>
      </c>
      <c r="E92" s="39"/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145.114</v>
      </c>
      <c r="O92" s="88">
        <f t="shared" si="30"/>
        <v>-0.06928089484081167</v>
      </c>
    </row>
    <row r="93" spans="1:15" ht="12.75">
      <c r="A93" s="4" t="s">
        <v>60</v>
      </c>
      <c r="B93" s="38">
        <v>2122.468</v>
      </c>
      <c r="C93" s="39">
        <v>-243.394</v>
      </c>
      <c r="D93" s="12">
        <f t="shared" si="28"/>
        <v>1879.0739999999998</v>
      </c>
      <c r="E93" s="39"/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1793.0739999999998</v>
      </c>
      <c r="O93" s="88">
        <f t="shared" si="30"/>
        <v>-0.15519385922426157</v>
      </c>
    </row>
    <row r="94" spans="1:16" ht="12.75">
      <c r="A94" s="4" t="s">
        <v>90</v>
      </c>
      <c r="B94" s="38">
        <v>384.422</v>
      </c>
      <c r="C94" s="39">
        <v>51.595</v>
      </c>
      <c r="D94" s="107">
        <f t="shared" si="28"/>
        <v>436.01700000000005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7">
        <f t="shared" si="29"/>
        <v>436.01700000000005</v>
      </c>
      <c r="O94" s="108">
        <f t="shared" si="30"/>
        <v>0.13421448304207362</v>
      </c>
      <c r="P94" s="109"/>
    </row>
    <row r="95" spans="1:15" ht="12.75">
      <c r="A95" s="3" t="s">
        <v>16</v>
      </c>
      <c r="B95" s="38">
        <f>2682.405+-2.567</f>
        <v>2679.838</v>
      </c>
      <c r="C95" s="39">
        <v>0</v>
      </c>
      <c r="D95" s="12">
        <f t="shared" si="28"/>
        <v>2679.838</v>
      </c>
      <c r="E95" s="39"/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/>
      <c r="N95" s="73">
        <f t="shared" si="29"/>
        <v>2559.838</v>
      </c>
      <c r="O95" s="88">
        <f t="shared" si="30"/>
        <v>-0.04477882618277672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/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388.474</v>
      </c>
      <c r="O96" s="88">
        <f>+(N96-B96)/B96</f>
        <v>-0.1294836831691156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31.079000000000008</v>
      </c>
      <c r="D98" s="9">
        <f>+SUM(D99:D101)</f>
        <v>446.65400000000005</v>
      </c>
      <c r="E98" s="33">
        <f t="shared" si="31"/>
        <v>0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449.65400000000005</v>
      </c>
      <c r="O98" s="87">
        <f>+(N98-B98)/B98</f>
        <v>0.08200445166335815</v>
      </c>
    </row>
    <row r="99" spans="1:15" ht="12.75">
      <c r="A99" s="20" t="s">
        <v>14</v>
      </c>
      <c r="B99" s="38">
        <v>34.179</v>
      </c>
      <c r="C99" s="43">
        <v>-48.541</v>
      </c>
      <c r="D99" s="12">
        <f>B99+C99</f>
        <v>-14.361999999999995</v>
      </c>
      <c r="E99" s="43"/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-23.361999999999995</v>
      </c>
      <c r="O99" s="88">
        <f>+(N99-B99)/B99</f>
        <v>-1.6835191199274406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/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431.663</v>
      </c>
      <c r="O100" s="88">
        <f>+(N100-B100)/B100</f>
        <v>0.2192389060085922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/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41.353</v>
      </c>
      <c r="O101" s="88">
        <f>+(N101-B101)/B101</f>
        <v>0.5118268562863305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-158.65289999999993</v>
      </c>
      <c r="D103" s="64">
        <f>+D5+D25+D63</f>
        <v>19738.560100000002</v>
      </c>
      <c r="E103" s="60">
        <f t="shared" si="32"/>
        <v>0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-891</v>
      </c>
      <c r="J103" s="60">
        <f t="shared" si="32"/>
        <v>-7</v>
      </c>
      <c r="K103" s="63">
        <f t="shared" si="32"/>
        <v>-1292</v>
      </c>
      <c r="L103" s="63">
        <f t="shared" si="32"/>
        <v>-224</v>
      </c>
      <c r="M103" s="63">
        <f t="shared" si="32"/>
        <v>450</v>
      </c>
      <c r="N103" s="83">
        <f t="shared" si="32"/>
        <v>18837.560100000002</v>
      </c>
      <c r="O103" s="90">
        <f>+(N103-B103)/B103</f>
        <v>-0.05325634801215614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v>159</v>
      </c>
      <c r="D106" s="77">
        <f>B106+C106</f>
        <v>2952.399</v>
      </c>
      <c r="E106" s="24">
        <f>1734.415-D106+159+27.9-290+150</f>
        <v>-1171.0839999999998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1781.315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/>
      <c r="D108" s="77">
        <f>B108+C108</f>
        <v>2336.166</v>
      </c>
      <c r="E108" s="24">
        <f>2852.583-D108</f>
        <v>516.4169999999999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2852.583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0.3471000000000686</v>
      </c>
      <c r="D110" s="47">
        <f t="shared" si="33"/>
        <v>25027.125100000005</v>
      </c>
      <c r="E110" s="47">
        <f t="shared" si="33"/>
        <v>-654.6669999999999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-891</v>
      </c>
      <c r="J110" s="47">
        <f t="shared" si="33"/>
        <v>-7</v>
      </c>
      <c r="K110" s="47">
        <f t="shared" si="33"/>
        <v>-1292</v>
      </c>
      <c r="L110" s="47">
        <f t="shared" si="33"/>
        <v>-224</v>
      </c>
      <c r="M110" s="47">
        <f t="shared" si="33"/>
        <v>450</v>
      </c>
      <c r="N110" s="47">
        <f>+SUM(N103:N109)</f>
        <v>23471.4581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0.3471000000000686</v>
      </c>
      <c r="D115" s="47">
        <f>+SUM(D110,D113)</f>
        <v>25027.125100000005</v>
      </c>
      <c r="E115" s="47">
        <f aca="true" t="shared" si="34" ref="E115:M115">+SUM(E110,E113)</f>
        <v>-654.6669999999999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-891</v>
      </c>
      <c r="J115" s="47">
        <f t="shared" si="34"/>
        <v>-7</v>
      </c>
      <c r="K115" s="47">
        <f t="shared" si="34"/>
        <v>-1292</v>
      </c>
      <c r="L115" s="47">
        <f t="shared" si="34"/>
        <v>-224</v>
      </c>
      <c r="M115" s="47">
        <f t="shared" si="34"/>
        <v>450</v>
      </c>
      <c r="N115" s="47">
        <f>+SUM(N110,N113)</f>
        <v>23471.4581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1555.6440000000002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-23471.206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-6402--8219</f>
        <v>1817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-6402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-5637.74+5661</f>
        <v>23.26000000000022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-5637.692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-11585.616+11228</f>
        <v>-357.616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-11585.686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-200+200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v>73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0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0.3471000000000686</v>
      </c>
      <c r="D125" s="24">
        <f>+SUM(D118,D115)</f>
        <v>0.27510000000256696</v>
      </c>
      <c r="E125" s="24">
        <f aca="true" t="shared" si="36" ref="E125:N125">+SUM(E118,E115)</f>
        <v>900.9770000000003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-891</v>
      </c>
      <c r="J125" s="24">
        <f t="shared" si="36"/>
        <v>-7</v>
      </c>
      <c r="K125" s="24">
        <f t="shared" si="36"/>
        <v>-1292</v>
      </c>
      <c r="L125" s="24">
        <f t="shared" si="36"/>
        <v>-224</v>
      </c>
      <c r="M125" s="24">
        <f t="shared" si="36"/>
        <v>450</v>
      </c>
      <c r="N125" s="24">
        <f t="shared" si="36"/>
        <v>0.2521000000015192</v>
      </c>
      <c r="O125" s="37"/>
    </row>
    <row r="126" ht="12.75" collapsed="1"/>
    <row r="127" spans="5:14" ht="12.75">
      <c r="E127" s="41"/>
      <c r="N127" s="41"/>
    </row>
    <row r="128" ht="12.75"/>
    <row r="129" ht="12.75">
      <c r="N129" s="41"/>
    </row>
    <row r="130" ht="12.75"/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3"/>
  <headerFooter alignWithMargins="0">
    <oddHeader>&amp;R&amp;16Appendix 2</oddHeader>
    <oddFooter>&amp;C&amp;P</oddFooter>
  </headerFooter>
  <rowBreaks count="2" manualBreakCount="2">
    <brk id="47" max="14" man="1"/>
    <brk id="9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8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C158" sqref="C158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108.7380000000012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-385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-657.2619999999988</v>
      </c>
      <c r="M5" s="53">
        <f>+(L5-B5)/B5</f>
        <v>-7.044455480144858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1787.5030000000002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1635.5030000000002</v>
      </c>
      <c r="M7" s="55">
        <f aca="true" t="shared" si="2" ref="M7:M12">+(L7-B7)/B7</f>
        <v>-0.08503482231917932</v>
      </c>
    </row>
    <row r="8" spans="1:13" ht="12.75">
      <c r="A8" s="2" t="s">
        <v>43</v>
      </c>
      <c r="B8" s="12">
        <f>'2014-15'!N8</f>
        <v>12.565999999999999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1.565999999999999</v>
      </c>
      <c r="M8" s="56">
        <f t="shared" si="2"/>
        <v>-0.8753780041381506</v>
      </c>
    </row>
    <row r="9" spans="1:13" ht="12.75">
      <c r="A9" s="2" t="s">
        <v>44</v>
      </c>
      <c r="B9" s="12">
        <f>'2014-15'!N9</f>
        <v>77.22500000000001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71.22500000000001</v>
      </c>
      <c r="M9" s="56">
        <f t="shared" si="2"/>
        <v>-0.07769504694075752</v>
      </c>
    </row>
    <row r="10" spans="1:13" ht="12.75">
      <c r="A10" s="2" t="s">
        <v>68</v>
      </c>
      <c r="B10" s="12">
        <f>'2014-15'!N10</f>
        <v>582.351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582.351</v>
      </c>
      <c r="M10" s="56">
        <f t="shared" si="2"/>
        <v>0</v>
      </c>
    </row>
    <row r="11" spans="1:13" ht="12.75">
      <c r="A11" s="2" t="s">
        <v>45</v>
      </c>
      <c r="B11" s="12">
        <f>'2014-15'!N11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'2014-15'!N12</f>
        <v>1146.7350000000001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1011.7350000000001</v>
      </c>
      <c r="M12" s="56">
        <f t="shared" si="2"/>
        <v>-0.11772554251854175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-5070.236999999999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-5202.236999999999</v>
      </c>
      <c r="M14" s="55">
        <f>+(L14-B14)/B14</f>
        <v>0.026034285971247503</v>
      </c>
    </row>
    <row r="15" spans="1:13" ht="12.75">
      <c r="A15" s="4" t="s">
        <v>62</v>
      </c>
      <c r="B15" s="12">
        <f>'2014-15'!N15</f>
        <v>-6212.509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-6344.509</v>
      </c>
      <c r="M15" s="56">
        <f>+(L15-B15)/B15</f>
        <v>0.021247454128436673</v>
      </c>
    </row>
    <row r="16" spans="1:13" ht="12.75">
      <c r="A16" s="4" t="s">
        <v>63</v>
      </c>
      <c r="B16" s="12">
        <f>'2014-15'!N16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'2014-15'!N17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'2014-15'!N18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3391.472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-385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10">
        <f>+SUM(L21:L23)</f>
        <v>2909.472</v>
      </c>
      <c r="M20" s="55">
        <f>+(L20-B20)/B20</f>
        <v>-0.14212117924016474</v>
      </c>
    </row>
    <row r="21" spans="1:13" ht="12.75">
      <c r="A21" s="3" t="s">
        <v>17</v>
      </c>
      <c r="B21" s="12">
        <f>'2014-15'!N21</f>
        <v>660.119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655.119</v>
      </c>
      <c r="M21" s="56">
        <f>+(L21-B21)/B21</f>
        <v>-0.007574391889947115</v>
      </c>
    </row>
    <row r="22" spans="1:13" ht="12.75">
      <c r="A22" s="3" t="s">
        <v>18</v>
      </c>
      <c r="B22" s="12">
        <f>'2014-15'!N22</f>
        <v>2821.228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2821.228</v>
      </c>
      <c r="M22" s="56">
        <f>+(L22-B22)/B22</f>
        <v>0</v>
      </c>
    </row>
    <row r="23" spans="1:13" ht="12.75">
      <c r="A23" s="3" t="s">
        <v>106</v>
      </c>
      <c r="B23" s="14">
        <f>'2014-15'!N23</f>
        <v>-89.875</v>
      </c>
      <c r="C23" s="33"/>
      <c r="D23" s="10"/>
      <c r="E23" s="33"/>
      <c r="F23" s="15">
        <v>3</v>
      </c>
      <c r="G23" s="39">
        <f>-50+-30+-300</f>
        <v>-380</v>
      </c>
      <c r="H23" s="10"/>
      <c r="I23" s="39">
        <v>-100</v>
      </c>
      <c r="J23" s="10"/>
      <c r="K23" s="33"/>
      <c r="L23" s="12">
        <f>+B23+SUM(C23:K23)</f>
        <v>-566.875</v>
      </c>
      <c r="M23" s="56">
        <f>+(L23-B23)/B23</f>
        <v>5.307371349095966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5188.4231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0</v>
      </c>
      <c r="L25" s="25">
        <f t="shared" si="5"/>
        <v>4354.4231</v>
      </c>
      <c r="M25" s="53">
        <f>+(L25-B25)/B25</f>
        <v>-0.16074248069707345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232.74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-0.30076480192489474</v>
      </c>
    </row>
    <row r="28" spans="1:13" ht="12.75">
      <c r="A28" s="2" t="s">
        <v>33</v>
      </c>
      <c r="B28" s="12">
        <f>'2014-15'!N28</f>
        <v>22.437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-17.563</v>
      </c>
      <c r="M28" s="56">
        <f t="shared" si="7"/>
        <v>-1.78276953246869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'2014-15'!N32</f>
        <v>-17.563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-47.563</v>
      </c>
      <c r="M32" s="56">
        <f t="shared" si="7"/>
        <v>1.7081364231623302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776.8960999999999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622.8960999999999</v>
      </c>
      <c r="M34" s="55">
        <f aca="true" t="shared" si="9" ref="M34:M39">+(L34-B34)/B34</f>
        <v>-0.19822470469345901</v>
      </c>
    </row>
    <row r="35" spans="1:13" ht="12.75">
      <c r="A35" s="99" t="s">
        <v>94</v>
      </c>
      <c r="B35" s="12">
        <f>'2014-15'!N35</f>
        <v>8.109000000000002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-20.891</v>
      </c>
      <c r="M35" s="56">
        <f t="shared" si="9"/>
        <v>-3.5762732766062393</v>
      </c>
    </row>
    <row r="36" spans="1:13" ht="12.75">
      <c r="A36" s="99" t="s">
        <v>0</v>
      </c>
      <c r="B36" s="12">
        <f>'2014-15'!N36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54.184099999999994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54.184099999999994</v>
      </c>
      <c r="M38" s="56">
        <f t="shared" si="9"/>
        <v>0</v>
      </c>
    </row>
    <row r="39" spans="1:13" ht="12.75">
      <c r="A39" s="3" t="s">
        <v>77</v>
      </c>
      <c r="B39" s="12">
        <f>'2014-15'!N39</f>
        <v>419.91700000000003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294.91700000000003</v>
      </c>
      <c r="M39" s="56">
        <f t="shared" si="9"/>
        <v>-0.2976778744370911</v>
      </c>
    </row>
    <row r="40" spans="1:14" ht="12.75">
      <c r="A40" s="20"/>
      <c r="B40" s="38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3529.957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3411.957</v>
      </c>
      <c r="M41" s="55">
        <f aca="true" t="shared" si="11" ref="M41:M46">+(L41-B41)/B41</f>
        <v>-0.03342816923832217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47.317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-108.68299999999999</v>
      </c>
      <c r="M43" s="56">
        <f t="shared" si="11"/>
        <v>-3.296912314812858</v>
      </c>
    </row>
    <row r="44" spans="1:13" ht="12.75">
      <c r="A44" s="3" t="s">
        <v>19</v>
      </c>
      <c r="B44" s="12">
        <f>'2014-15'!N44</f>
        <v>1162.6609999999998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1200.6609999999998</v>
      </c>
      <c r="M44" s="56">
        <f t="shared" si="11"/>
        <v>0.032683645533822844</v>
      </c>
    </row>
    <row r="45" spans="1:13" ht="12.75">
      <c r="A45" s="3" t="s">
        <v>53</v>
      </c>
      <c r="B45" s="12">
        <f>'2014-15'!N45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104"/>
      <c r="B47" s="103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255.488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0</v>
      </c>
      <c r="L48" s="9">
        <f t="shared" si="12"/>
        <v>200.488</v>
      </c>
      <c r="M48" s="55">
        <f aca="true" t="shared" si="13" ref="M48:M53">+(L48-B48)/B48</f>
        <v>-0.21527429859719438</v>
      </c>
    </row>
    <row r="49" spans="1:13" ht="12.75">
      <c r="A49" s="2" t="s">
        <v>81</v>
      </c>
      <c r="B49" s="12">
        <f>'2014-15'!N49</f>
        <v>129.21699999999998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109.21699999999998</v>
      </c>
      <c r="M49" s="56">
        <f t="shared" si="13"/>
        <v>-0.15477839603148194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'2014-15'!N52</f>
        <v>4.587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4.587</v>
      </c>
      <c r="M52" s="56">
        <f t="shared" si="13"/>
        <v>0</v>
      </c>
    </row>
    <row r="53" spans="1:13" ht="12.75">
      <c r="A53" s="20" t="s">
        <v>83</v>
      </c>
      <c r="B53" s="12">
        <f>'2014-15'!N53</f>
        <v>126.92800000000001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/>
      <c r="L53" s="12">
        <f>+B53+SUM(C53:K53)</f>
        <v>91.92800000000001</v>
      </c>
      <c r="M53" s="56">
        <f t="shared" si="13"/>
        <v>-0.27574688012101345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393.342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-1.1109924696574482</v>
      </c>
    </row>
    <row r="56" spans="1:13" ht="12.75">
      <c r="A56" s="3" t="s">
        <v>1</v>
      </c>
      <c r="B56" s="12">
        <f>'2014-15'!N56</f>
        <v>-0.8959999999999999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3.348214285714286</v>
      </c>
    </row>
    <row r="57" spans="1:13" ht="12.75">
      <c r="A57" s="3" t="s">
        <v>2</v>
      </c>
      <c r="B57" s="12">
        <f>'2014-15'!N57</f>
        <v>215.981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214.981</v>
      </c>
      <c r="M57" s="56">
        <f t="shared" si="15"/>
        <v>-0.004630036901394104</v>
      </c>
    </row>
    <row r="58" spans="1:13" ht="12.75">
      <c r="A58" s="3" t="s">
        <v>48</v>
      </c>
      <c r="B58" s="12">
        <f>'2014-15'!N58</f>
        <v>163.98399999999998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80.98399999999998</v>
      </c>
      <c r="M58" s="56">
        <f t="shared" si="15"/>
        <v>-0.5061469411649918</v>
      </c>
    </row>
    <row r="59" spans="1:13" ht="12.75">
      <c r="A59" s="3" t="s">
        <v>49</v>
      </c>
      <c r="B59" s="12">
        <f>'2014-15'!N59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'2014-15'!N60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'2014-15'!N61</f>
        <v>11.517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-338.483</v>
      </c>
      <c r="M61" s="56">
        <f t="shared" si="15"/>
        <v>-30.3898584700877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13540.399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-650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-185</v>
      </c>
      <c r="L63" s="25">
        <f t="shared" si="17"/>
        <v>12539.399000000001</v>
      </c>
      <c r="M63" s="53">
        <f>+(L63-B63)/B63</f>
        <v>-0.07392692046962561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2761.1859999999997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2678.1859999999997</v>
      </c>
      <c r="M65" s="55">
        <f aca="true" t="shared" si="19" ref="M65:M70">+(L65-B65)/B65</f>
        <v>-0.030059546875871458</v>
      </c>
    </row>
    <row r="66" spans="1:13" ht="12.75">
      <c r="A66" s="2" t="s">
        <v>96</v>
      </c>
      <c r="B66" s="12">
        <f>'2014-15'!N66</f>
        <v>562.87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500.87</v>
      </c>
      <c r="M66" s="56">
        <f t="shared" si="19"/>
        <v>-0.11014976815250413</v>
      </c>
    </row>
    <row r="67" spans="1:13" ht="12.75">
      <c r="A67" s="2" t="s">
        <v>47</v>
      </c>
      <c r="B67" s="12">
        <f>'2014-15'!N67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'2014-15'!N68</f>
        <v>1380.747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1359.747</v>
      </c>
      <c r="M68" s="56">
        <f t="shared" si="19"/>
        <v>-0.015209158520713787</v>
      </c>
    </row>
    <row r="69" spans="1:13" ht="12.75">
      <c r="A69" s="2" t="s">
        <v>105</v>
      </c>
      <c r="B69" s="12">
        <f>'2014-15'!N69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2792.166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-25</v>
      </c>
      <c r="L72" s="9">
        <f t="shared" si="20"/>
        <v>2445.166000000001</v>
      </c>
      <c r="M72" s="55">
        <f aca="true" t="shared" si="21" ref="M72:M84">+(L72-B72)/B72</f>
        <v>-0.12427627870262695</v>
      </c>
    </row>
    <row r="73" spans="1:13" ht="12.75">
      <c r="A73" s="21" t="s">
        <v>86</v>
      </c>
      <c r="B73" s="12">
        <f>'2014-15'!N73</f>
        <v>-2127.289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-2160.289</v>
      </c>
      <c r="M73" s="56">
        <f t="shared" si="21"/>
        <v>0.015512701847280739</v>
      </c>
    </row>
    <row r="74" spans="1:13" ht="12.75">
      <c r="A74" s="21" t="s">
        <v>87</v>
      </c>
      <c r="B74" s="12">
        <f>'2014-15'!N74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-3671.1189999999997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-4137.119</v>
      </c>
      <c r="M75" s="56">
        <f t="shared" si="21"/>
        <v>0.12693677322908903</v>
      </c>
    </row>
    <row r="76" spans="1:13" ht="12.75">
      <c r="A76" s="21" t="s">
        <v>21</v>
      </c>
      <c r="B76" s="12">
        <f>'2014-15'!N76</f>
        <v>3355.233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3423.233</v>
      </c>
      <c r="M76" s="56">
        <f t="shared" si="21"/>
        <v>0.02026684882987262</v>
      </c>
    </row>
    <row r="77" spans="1:13" ht="12.75">
      <c r="A77" s="21" t="s">
        <v>88</v>
      </c>
      <c r="B77" s="12">
        <f>'2014-15'!N77</f>
        <v>-1193.399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-1225.399</v>
      </c>
      <c r="M77" s="56">
        <f t="shared" si="21"/>
        <v>0.02681416692992034</v>
      </c>
    </row>
    <row r="78" spans="1:13" ht="12.75">
      <c r="A78" s="21" t="s">
        <v>66</v>
      </c>
      <c r="B78" s="12">
        <f>'2014-15'!N78</f>
        <v>-140.066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-158.066</v>
      </c>
      <c r="M78" s="56">
        <f t="shared" si="21"/>
        <v>0.1285108448874102</v>
      </c>
    </row>
    <row r="79" spans="1:13" ht="12.75">
      <c r="A79" s="21" t="s">
        <v>22</v>
      </c>
      <c r="B79" s="12">
        <f>'2014-15'!N79</f>
        <v>4065.024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4041.024</v>
      </c>
      <c r="M79" s="56">
        <f t="shared" si="21"/>
        <v>-0.005904024182883053</v>
      </c>
    </row>
    <row r="80" spans="1:13" ht="12.75">
      <c r="A80" s="21" t="s">
        <v>65</v>
      </c>
      <c r="B80" s="12">
        <f>'2014-15'!N80</f>
        <v>-86.56300000000002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-46.56300000000002</v>
      </c>
      <c r="M80" s="56">
        <f t="shared" si="21"/>
        <v>-0.462091193697076</v>
      </c>
    </row>
    <row r="81" spans="1:13" ht="12.75">
      <c r="A81" s="21" t="s">
        <v>23</v>
      </c>
      <c r="B81" s="12">
        <f>'2014-15'!N81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2335.934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2335.934</v>
      </c>
      <c r="M83" s="56">
        <f t="shared" si="21"/>
        <v>0</v>
      </c>
    </row>
    <row r="84" spans="1:14" ht="12.75" customHeight="1">
      <c r="A84" s="21" t="s">
        <v>25</v>
      </c>
      <c r="B84" s="107">
        <f>'2014-15'!N84</f>
        <v>988.5160000000001</v>
      </c>
      <c r="C84" s="39"/>
      <c r="D84" s="15"/>
      <c r="E84" s="39">
        <v>98</v>
      </c>
      <c r="F84" s="106"/>
      <c r="G84" s="106">
        <v>20</v>
      </c>
      <c r="H84" s="106"/>
      <c r="I84" s="106"/>
      <c r="J84" s="106"/>
      <c r="K84" s="106"/>
      <c r="L84" s="107">
        <f t="shared" si="22"/>
        <v>1106.516</v>
      </c>
      <c r="M84" s="108">
        <f t="shared" si="21"/>
        <v>0.11937085489764454</v>
      </c>
      <c r="N84" s="109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7537.393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-315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0</v>
      </c>
      <c r="L86" s="9">
        <f t="shared" si="23"/>
        <v>7166.393</v>
      </c>
      <c r="M86" s="55">
        <f aca="true" t="shared" si="24" ref="M86:M96">+(L86-B86)/B86</f>
        <v>-0.04922126257712713</v>
      </c>
    </row>
    <row r="87" spans="1:13" ht="12.75">
      <c r="A87" s="4" t="s">
        <v>55</v>
      </c>
      <c r="B87" s="12">
        <f>'2014-15'!N87</f>
        <v>1832.8690000000001</v>
      </c>
      <c r="C87" s="39"/>
      <c r="D87" s="15"/>
      <c r="E87" s="39">
        <v>6</v>
      </c>
      <c r="F87" s="15"/>
      <c r="G87" s="39">
        <f>-300</f>
        <v>-300</v>
      </c>
      <c r="H87" s="15"/>
      <c r="I87" s="39">
        <v>-10</v>
      </c>
      <c r="J87" s="15"/>
      <c r="K87" s="39"/>
      <c r="L87" s="12">
        <f aca="true" t="shared" si="25" ref="L87:L96">+B87+SUM(C87:K87)</f>
        <v>1528.8690000000001</v>
      </c>
      <c r="M87" s="56">
        <f t="shared" si="24"/>
        <v>-0.16586018968076824</v>
      </c>
    </row>
    <row r="88" spans="1:13" ht="12.75">
      <c r="A88" s="4" t="s">
        <v>72</v>
      </c>
      <c r="B88" s="12">
        <f>'2014-15'!N88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'2014-15'!N89</f>
        <v>206.32500000000002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206.32500000000002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'2014-15'!N93</f>
        <v>1793.0739999999998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1731.0739999999998</v>
      </c>
      <c r="M93" s="56">
        <f t="shared" si="24"/>
        <v>-0.03457749094571669</v>
      </c>
    </row>
    <row r="94" spans="1:13" ht="12.75">
      <c r="A94" s="101" t="s">
        <v>90</v>
      </c>
      <c r="B94" s="100">
        <f>'2014-15'!N94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00">
        <f>'2014-15'!N95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'2014-15'!N96</f>
        <v>388.474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383.474</v>
      </c>
      <c r="M96" s="56">
        <f t="shared" si="24"/>
        <v>-0.012870874241261964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249.65400000000005</v>
      </c>
      <c r="M98" s="55">
        <f>+(L98-B98)/B98</f>
        <v>-0.444786435792854</v>
      </c>
    </row>
    <row r="99" spans="1:13" ht="12.75">
      <c r="A99" s="20" t="s">
        <v>14</v>
      </c>
      <c r="B99" s="12">
        <f>'2014-15'!N99</f>
        <v>-23.361999999999995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-35.361999999999995</v>
      </c>
      <c r="M99" s="56">
        <f>+(L99-B99)/B99</f>
        <v>0.5136546528550638</v>
      </c>
    </row>
    <row r="100" spans="1:13" ht="12.75">
      <c r="A100" s="20" t="s">
        <v>52</v>
      </c>
      <c r="B100" s="12">
        <f>'2014-15'!N100</f>
        <v>431.663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420.663</v>
      </c>
      <c r="M100" s="56">
        <f>+(L100-B100)/B100</f>
        <v>-0.025482841939197937</v>
      </c>
    </row>
    <row r="101" spans="1:13" ht="15" customHeight="1">
      <c r="A101" s="20" t="s">
        <v>15</v>
      </c>
      <c r="B101" s="12">
        <f>'2014-15'!N101</f>
        <v>41.353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-135.647</v>
      </c>
      <c r="M101" s="56">
        <f>+(L101-B101)/B101</f>
        <v>-4.280221507508524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18837.560100000002</v>
      </c>
      <c r="C103" s="60">
        <f>+C5+C25+C63</f>
        <v>0</v>
      </c>
      <c r="D103" s="63">
        <f>+D5+D25+D63</f>
        <v>0</v>
      </c>
      <c r="E103" s="114">
        <f aca="true" t="shared" si="27" ref="E103:L103">+E5+E25+E63</f>
        <v>182</v>
      </c>
      <c r="F103" s="63">
        <f t="shared" si="27"/>
        <v>-18</v>
      </c>
      <c r="G103" s="63">
        <f t="shared" si="27"/>
        <v>-1794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-460</v>
      </c>
      <c r="L103" s="64">
        <f t="shared" si="27"/>
        <v>16236.560100000002</v>
      </c>
      <c r="M103" s="61">
        <f>+(L103-B103)/B103</f>
        <v>-0.13807520645946073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1781.315</v>
      </c>
      <c r="C106" s="24">
        <f>107.623-B106+159+131.676-30+300</f>
        <v>-1113.016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668.299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2852.583</v>
      </c>
      <c r="C108" s="24">
        <f>4503.403-B108</f>
        <v>1650.8200000000002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4503.403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23471.4581</v>
      </c>
      <c r="C110" s="47">
        <f t="shared" si="28"/>
        <v>537.8040000000001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-1794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-460</v>
      </c>
      <c r="L110" s="47">
        <f t="shared" si="28"/>
        <v>21408.2621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23471.4581</v>
      </c>
      <c r="C115" s="47">
        <f>+SUM(C110,C113)</f>
        <v>537.8040000000001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-1794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-460</v>
      </c>
      <c r="L115" s="47">
        <f t="shared" si="29"/>
        <v>21408.2621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-23471.206</v>
      </c>
      <c r="C118" s="47">
        <f>+SUM(C119:C122)</f>
        <v>2063.2199999999993</v>
      </c>
      <c r="D118" s="47">
        <f aca="true" t="shared" si="30" ref="D118:L118">+SUM(D119:D122)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-21407.986</v>
      </c>
      <c r="M118" s="37"/>
    </row>
    <row r="119" spans="1:13" ht="12.75" hidden="1" outlineLevel="1">
      <c r="A119" s="76" t="s">
        <v>108</v>
      </c>
      <c r="B119" s="38">
        <f>'2014-15'!N119</f>
        <v>-6402</v>
      </c>
      <c r="C119" s="24">
        <f>-4373-B119</f>
        <v>2029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-4373</v>
      </c>
      <c r="M119" s="37"/>
    </row>
    <row r="120" spans="1:13" ht="12.75" hidden="1" outlineLevel="1">
      <c r="A120" s="76" t="s">
        <v>109</v>
      </c>
      <c r="B120" s="38">
        <f>'2014-15'!N120</f>
        <v>-5637.692</v>
      </c>
      <c r="C120" s="24">
        <f>-5317.762-B120</f>
        <v>319.9300000000003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-5317.762</v>
      </c>
      <c r="M120" s="37"/>
    </row>
    <row r="121" spans="1:13" ht="12.75" hidden="1" outlineLevel="1">
      <c r="A121" s="80" t="s">
        <v>110</v>
      </c>
      <c r="B121" s="38">
        <f>'2014-15'!N121</f>
        <v>-11585.686</v>
      </c>
      <c r="C121" s="24">
        <f>-11871.396-B121</f>
        <v>-285.71000000000095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-11871.396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>
        <v>0</v>
      </c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0</v>
      </c>
      <c r="C123" s="24">
        <v>0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0.2521000000015192</v>
      </c>
      <c r="C125" s="24">
        <f t="shared" si="31"/>
        <v>2601.0239999999994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-1794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-460</v>
      </c>
      <c r="L125" s="24">
        <f t="shared" si="31"/>
        <v>0.2760999999991327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2" manualBreakCount="2">
    <brk id="39" max="12" man="1"/>
    <brk id="8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10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P128" sqref="P128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15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-657.2619999999988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-276</v>
      </c>
      <c r="J5" s="26">
        <f t="shared" si="0"/>
        <v>-10</v>
      </c>
      <c r="K5" s="30">
        <f t="shared" si="0"/>
        <v>-25</v>
      </c>
      <c r="L5" s="25">
        <f>+L7+L14+L20</f>
        <v>-1072.2619999999988</v>
      </c>
      <c r="M5" s="53">
        <f>+(L5-B5)/B5</f>
        <v>0.6314072622485413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1635.5030000000002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1508.5030000000002</v>
      </c>
      <c r="M7" s="55">
        <f aca="true" t="shared" si="2" ref="M7:M12">+(L7-B7)/B7</f>
        <v>-0.07765195172372047</v>
      </c>
    </row>
    <row r="8" spans="1:13" ht="12.75">
      <c r="A8" s="2" t="s">
        <v>43</v>
      </c>
      <c r="B8" s="12">
        <f>'2015-16'!L8</f>
        <v>1.565999999999999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-8.434000000000001</v>
      </c>
      <c r="M8" s="56">
        <f t="shared" si="2"/>
        <v>-6.385696040868459</v>
      </c>
    </row>
    <row r="9" spans="1:13" ht="12.75">
      <c r="A9" s="2" t="s">
        <v>44</v>
      </c>
      <c r="B9" s="12">
        <f>'2015-16'!L9</f>
        <v>71.22500000000001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69.22500000000001</v>
      </c>
      <c r="M9" s="56">
        <f t="shared" si="2"/>
        <v>-0.028080028080028078</v>
      </c>
    </row>
    <row r="10" spans="1:13" ht="12.75">
      <c r="A10" s="2" t="s">
        <v>68</v>
      </c>
      <c r="B10" s="12">
        <f>'2015-16'!L10</f>
        <v>582.351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-0.15454596969868686</v>
      </c>
    </row>
    <row r="11" spans="1:13" ht="12.75">
      <c r="A11" s="2" t="s">
        <v>45</v>
      </c>
      <c r="B11" s="12">
        <f>'2015-16'!L11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'2015-16'!L12</f>
        <v>1011.7350000000001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986.7350000000001</v>
      </c>
      <c r="M12" s="56">
        <f t="shared" si="2"/>
        <v>-0.024710027823491326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-5202.236999999999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0.013840199898620538</v>
      </c>
    </row>
    <row r="15" spans="1:13" ht="12.75">
      <c r="A15" s="4" t="s">
        <v>62</v>
      </c>
      <c r="B15" s="12">
        <f>'2015-16'!L15</f>
        <v>-6344.509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-6416.509</v>
      </c>
      <c r="M15" s="56">
        <f>+(L15-B15)/B15</f>
        <v>0.011348395912118652</v>
      </c>
    </row>
    <row r="16" spans="1:13" ht="12.75">
      <c r="A16" s="4" t="s">
        <v>63</v>
      </c>
      <c r="B16" s="12">
        <f>'2015-16'!L16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'2015-16'!L17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'2015-16'!L18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2909.472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-0.07424027452403735</v>
      </c>
    </row>
    <row r="21" spans="1:13" ht="12.75">
      <c r="A21" s="3" t="s">
        <v>17</v>
      </c>
      <c r="B21" s="12">
        <f>'2015-16'!L21</f>
        <v>655.119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649.119</v>
      </c>
      <c r="M21" s="56">
        <f>+(L21-B21)/B21</f>
        <v>-0.009158641407133666</v>
      </c>
    </row>
    <row r="22" spans="1:13" ht="12.75">
      <c r="A22" s="3" t="s">
        <v>18</v>
      </c>
      <c r="B22" s="12">
        <f>'2015-16'!L22</f>
        <v>2821.228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2811.228</v>
      </c>
      <c r="M22" s="56">
        <f>+(L22-B22)/B22</f>
        <v>-0.003544555775002942</v>
      </c>
    </row>
    <row r="23" spans="1:13" ht="12.75">
      <c r="A23" s="3" t="s">
        <v>106</v>
      </c>
      <c r="B23" s="14">
        <f>'2015-16'!L23</f>
        <v>-566.875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-200</v>
      </c>
      <c r="J23" s="10"/>
      <c r="K23" s="33"/>
      <c r="L23" s="12">
        <f>+B23+SUM(C23:K23)</f>
        <v>-766.875</v>
      </c>
      <c r="M23" s="56">
        <f>+(L23-B23)/B23</f>
        <v>0.3528114663726571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4354.4231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-35</v>
      </c>
      <c r="L25" s="25">
        <f t="shared" si="5"/>
        <v>3931.4231</v>
      </c>
      <c r="M25" s="53">
        <f>+(L25-B25)/B25</f>
        <v>-0.09714260426369684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162.74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'2015-16'!L32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622.8960999999999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0</v>
      </c>
      <c r="L34" s="9">
        <f t="shared" si="8"/>
        <v>450.8961</v>
      </c>
      <c r="M34" s="55">
        <f aca="true" t="shared" si="9" ref="M34:M39">+(L34-B34)/B34</f>
        <v>-0.27612951822944465</v>
      </c>
    </row>
    <row r="35" spans="1:13" ht="12.75">
      <c r="A35" s="99" t="s">
        <v>94</v>
      </c>
      <c r="B35" s="12">
        <f>'2015-16'!L35</f>
        <v>-20.891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-40.891</v>
      </c>
      <c r="M35" s="56">
        <f t="shared" si="9"/>
        <v>0.9573500550476283</v>
      </c>
    </row>
    <row r="36" spans="1:13" ht="12.75">
      <c r="A36" s="99" t="s">
        <v>0</v>
      </c>
      <c r="B36" s="12">
        <f>'2015-16'!L36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54.184099999999994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47.184099999999994</v>
      </c>
      <c r="M38" s="56">
        <f t="shared" si="9"/>
        <v>-0.12918919018678912</v>
      </c>
    </row>
    <row r="39" spans="1:13" ht="12.75">
      <c r="A39" s="3" t="s">
        <v>77</v>
      </c>
      <c r="B39" s="12">
        <f>'2015-16'!L39</f>
        <v>294.91700000000003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149.91700000000003</v>
      </c>
      <c r="M39" s="56">
        <f t="shared" si="9"/>
        <v>-0.49166375624328196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11">
        <f>+SUM(B42:B46)</f>
        <v>3411.957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11">
        <f t="shared" si="10"/>
        <v>3253.957</v>
      </c>
      <c r="M41" s="112">
        <f aca="true" t="shared" si="11" ref="M41:M46">+(L41-B41)/B41</f>
        <v>-0.04630773482784221</v>
      </c>
      <c r="N41" s="109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-108.68299999999999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-228.683</v>
      </c>
      <c r="M43" s="56">
        <f t="shared" si="11"/>
        <v>1.1041285205597933</v>
      </c>
    </row>
    <row r="44" spans="1:13" ht="12.75">
      <c r="A44" s="3" t="s">
        <v>19</v>
      </c>
      <c r="B44" s="12">
        <f>'2015-16'!L44</f>
        <v>1200.6609999999998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1162.6609999999998</v>
      </c>
      <c r="M44" s="56">
        <f t="shared" si="11"/>
        <v>-0.03164923321403794</v>
      </c>
    </row>
    <row r="45" spans="1:13" ht="12.75">
      <c r="A45" s="3" t="s">
        <v>53</v>
      </c>
      <c r="B45" s="12">
        <f>'2015-16'!L45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200.488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-0.4638681616854874</v>
      </c>
    </row>
    <row r="49" spans="1:13" ht="12.75">
      <c r="A49" s="2" t="s">
        <v>81</v>
      </c>
      <c r="B49" s="12">
        <f>'2015-16'!L49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'2015-16'!L52</f>
        <v>4.587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2.5869999999999997</v>
      </c>
      <c r="M52" s="56">
        <f t="shared" si="13"/>
        <v>-0.43601482450403317</v>
      </c>
    </row>
    <row r="53" spans="1:13" ht="12.75">
      <c r="A53" s="20" t="s">
        <v>83</v>
      </c>
      <c r="B53" s="12">
        <f>'2015-16'!L53</f>
        <v>91.92800000000001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0.9280000000000115</v>
      </c>
      <c r="M53" s="56">
        <f t="shared" si="13"/>
        <v>-0.9899051431555129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'2015-16'!L57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'2015-16'!L58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'2015-16'!L59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'2015-16'!L60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'2015-16'!L61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12539.399000000001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-99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86</v>
      </c>
      <c r="L63" s="25">
        <f t="shared" si="17"/>
        <v>12290.399000000001</v>
      </c>
      <c r="M63" s="53">
        <f>+(L63-B63)/B63</f>
        <v>-0.019857411029029378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2678.1859999999997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-0.017922578939625556</v>
      </c>
    </row>
    <row r="66" spans="1:13" ht="12.75">
      <c r="A66" s="2" t="s">
        <v>96</v>
      </c>
      <c r="B66" s="12">
        <f>'2015-16'!L66</f>
        <v>500.87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455.87</v>
      </c>
      <c r="M66" s="56">
        <f t="shared" si="19"/>
        <v>-0.08984367201070138</v>
      </c>
    </row>
    <row r="67" spans="1:13" ht="12.75">
      <c r="A67" s="2" t="s">
        <v>47</v>
      </c>
      <c r="B67" s="12">
        <f>'2015-16'!L67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'2015-16'!L68</f>
        <v>1359.747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1356.747</v>
      </c>
      <c r="M68" s="56">
        <f t="shared" si="19"/>
        <v>-0.002206292788290763</v>
      </c>
    </row>
    <row r="69" spans="1:13" ht="12.75">
      <c r="A69" s="2" t="s">
        <v>105</v>
      </c>
      <c r="B69" s="12">
        <f>'2015-16'!L69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'2015-16'!L70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2445.166000000001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2258.166000000001</v>
      </c>
      <c r="M72" s="55">
        <f aca="true" t="shared" si="21" ref="M72:M84">+(L72-B72)/B72</f>
        <v>-0.07647742525456346</v>
      </c>
    </row>
    <row r="73" spans="1:13" ht="12.75">
      <c r="A73" s="21" t="s">
        <v>86</v>
      </c>
      <c r="B73" s="12">
        <f>'2015-16'!L73</f>
        <v>-2160.289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-2193.289</v>
      </c>
      <c r="M73" s="56">
        <f t="shared" si="21"/>
        <v>0.015275733941153242</v>
      </c>
    </row>
    <row r="74" spans="1:13" ht="12.75">
      <c r="A74" s="21" t="s">
        <v>87</v>
      </c>
      <c r="B74" s="12">
        <f>'2015-16'!L74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-4137.119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-4317.119</v>
      </c>
      <c r="M75" s="56">
        <f t="shared" si="21"/>
        <v>0.04350853818804826</v>
      </c>
    </row>
    <row r="76" spans="1:13" ht="12.75">
      <c r="A76" s="21" t="s">
        <v>21</v>
      </c>
      <c r="B76" s="12">
        <f>'2015-16'!L76</f>
        <v>3423.233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3435.233</v>
      </c>
      <c r="M76" s="56">
        <f t="shared" si="21"/>
        <v>0.0035054581443915737</v>
      </c>
    </row>
    <row r="77" spans="1:13" ht="12.75">
      <c r="A77" s="21" t="s">
        <v>88</v>
      </c>
      <c r="B77" s="12">
        <f>'2015-16'!L77</f>
        <v>-1225.399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-1360.399</v>
      </c>
      <c r="M77" s="56">
        <f t="shared" si="21"/>
        <v>0.11016819827664297</v>
      </c>
    </row>
    <row r="78" spans="1:13" ht="12.75">
      <c r="A78" s="21" t="s">
        <v>66</v>
      </c>
      <c r="B78" s="12">
        <f>'2015-16'!L78</f>
        <v>-158.066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-176.066</v>
      </c>
      <c r="M78" s="56">
        <f t="shared" si="21"/>
        <v>0.11387648197588349</v>
      </c>
    </row>
    <row r="79" spans="1:13" ht="12.75">
      <c r="A79" s="21" t="s">
        <v>22</v>
      </c>
      <c r="B79" s="12">
        <f>'2015-16'!L79</f>
        <v>4041.024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4043.024</v>
      </c>
      <c r="M79" s="56">
        <f t="shared" si="21"/>
        <v>0.0004949240588524097</v>
      </c>
    </row>
    <row r="80" spans="1:13" ht="12.75">
      <c r="A80" s="21" t="s">
        <v>65</v>
      </c>
      <c r="B80" s="12">
        <f>'2015-16'!L80</f>
        <v>-46.56300000000002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-4.563000000000017</v>
      </c>
      <c r="M80" s="56">
        <f t="shared" si="21"/>
        <v>-0.9020037368726239</v>
      </c>
    </row>
    <row r="81" spans="1:13" ht="12.75">
      <c r="A81" s="21" t="s">
        <v>23</v>
      </c>
      <c r="B81" s="12">
        <f>'2015-16'!L81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2335.934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2335.934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1106.516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1229.516</v>
      </c>
      <c r="M84" s="56">
        <f t="shared" si="21"/>
        <v>0.11115971210538302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7166.393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-44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-0.011581837613427006</v>
      </c>
    </row>
    <row r="87" spans="1:13" ht="12.75">
      <c r="A87" s="4" t="s">
        <v>55</v>
      </c>
      <c r="B87" s="12">
        <f>'2015-16'!L87</f>
        <v>1528.8690000000001</v>
      </c>
      <c r="C87" s="39"/>
      <c r="D87" s="15"/>
      <c r="E87" s="39">
        <v>2</v>
      </c>
      <c r="F87" s="15"/>
      <c r="G87" s="39">
        <f>-13</f>
        <v>-13</v>
      </c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-0.007194861037799837</v>
      </c>
    </row>
    <row r="88" spans="1:13" ht="12.75">
      <c r="A88" s="4" t="s">
        <v>72</v>
      </c>
      <c r="B88" s="12">
        <f>'2015-16'!L88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'2015-16'!L89</f>
        <v>206.32500000000002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203.32500000000002</v>
      </c>
      <c r="M89" s="56">
        <f t="shared" si="24"/>
        <v>-0.014540167211922935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'2015-16'!L93</f>
        <v>1731.0739999999998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1662.0739999999998</v>
      </c>
      <c r="M93" s="56">
        <f t="shared" si="24"/>
        <v>-0.03985964782556956</v>
      </c>
    </row>
    <row r="94" spans="1:13" ht="12.75">
      <c r="A94" s="101" t="s">
        <v>90</v>
      </c>
      <c r="B94" s="12">
        <f>'2015-16'!L94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6">
        <f>'2015-16'!L95</f>
        <v>2559.838</v>
      </c>
      <c r="C95" s="41"/>
      <c r="D95" s="17"/>
      <c r="E95" s="41"/>
      <c r="F95" s="17"/>
      <c r="G95" s="41"/>
      <c r="H95" s="17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'2015-16'!L96</f>
        <v>383.474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318.65400000000005</v>
      </c>
      <c r="M98" s="55">
        <f>+(L98-B98)/B98</f>
        <v>0.27638251339854353</v>
      </c>
    </row>
    <row r="99" spans="1:13" ht="12.75">
      <c r="A99" s="20" t="s">
        <v>14</v>
      </c>
      <c r="B99" s="12">
        <f>'2015-16'!L99</f>
        <v>-35.361999999999995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-43.361999999999995</v>
      </c>
      <c r="M99" s="56">
        <f>+(L99-B99)/B99</f>
        <v>0.22623154798936715</v>
      </c>
    </row>
    <row r="100" spans="1:13" ht="12.75">
      <c r="A100" s="20" t="s">
        <v>52</v>
      </c>
      <c r="B100" s="12">
        <f>'2015-16'!L100</f>
        <v>420.663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411.663</v>
      </c>
      <c r="M100" s="56">
        <f>+(L100-B100)/B100</f>
        <v>-0.02139479821139487</v>
      </c>
    </row>
    <row r="101" spans="1:13" ht="12.75">
      <c r="A101" s="20" t="s">
        <v>15</v>
      </c>
      <c r="B101" s="12">
        <f>'2015-16'!L101</f>
        <v>-135.647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-49.64699999999999</v>
      </c>
      <c r="M101" s="56">
        <f>+(L101-B101)/B101</f>
        <v>-0.6339985403289421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16236.560100000002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-383</v>
      </c>
      <c r="H103" s="63">
        <f t="shared" si="27"/>
        <v>-36</v>
      </c>
      <c r="I103" s="60">
        <f t="shared" si="27"/>
        <v>-648</v>
      </c>
      <c r="J103" s="63">
        <f t="shared" si="27"/>
        <v>-10</v>
      </c>
      <c r="K103" s="60">
        <f t="shared" si="27"/>
        <v>26</v>
      </c>
      <c r="L103" s="64">
        <f t="shared" si="27"/>
        <v>15149.560100000002</v>
      </c>
      <c r="M103" s="61">
        <f>+(L103-B103)/B103</f>
        <v>-0.06694767815998168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668.299</v>
      </c>
      <c r="C106" s="24">
        <f>-399.956-B106+159+195-410+300</f>
        <v>-824.2550000000001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-155.95600000000013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4503.403</v>
      </c>
      <c r="C108" s="24">
        <f>6051.869-B108</f>
        <v>1548.4659999999994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6051.869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21408.2621</v>
      </c>
      <c r="C110" s="47">
        <f t="shared" si="28"/>
        <v>724.2109999999993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-383</v>
      </c>
      <c r="H110" s="47">
        <f t="shared" si="28"/>
        <v>-36</v>
      </c>
      <c r="I110" s="47">
        <f t="shared" si="28"/>
        <v>-648</v>
      </c>
      <c r="J110" s="47">
        <f t="shared" si="28"/>
        <v>-10</v>
      </c>
      <c r="K110" s="47">
        <f t="shared" si="28"/>
        <v>26</v>
      </c>
      <c r="L110" s="47">
        <f t="shared" si="28"/>
        <v>21045.473100000003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21408.2621</v>
      </c>
      <c r="C115" s="47">
        <f>+SUM(C110,C113)</f>
        <v>724.2109999999993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-383</v>
      </c>
      <c r="H115" s="47">
        <f t="shared" si="29"/>
        <v>-36</v>
      </c>
      <c r="I115" s="47">
        <f t="shared" si="29"/>
        <v>-648</v>
      </c>
      <c r="J115" s="47">
        <f t="shared" si="29"/>
        <v>-10</v>
      </c>
      <c r="K115" s="47">
        <f t="shared" si="29"/>
        <v>26</v>
      </c>
      <c r="L115" s="47">
        <f t="shared" si="29"/>
        <v>21045.473100000003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-21407.986</v>
      </c>
      <c r="C118" s="47">
        <f aca="true" t="shared" si="30" ref="C118:L118">+SUM(C119:C122)</f>
        <v>362.72000000000025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-21045.266000000003</v>
      </c>
      <c r="M118" s="37"/>
    </row>
    <row r="119" spans="1:13" ht="12.75" hidden="1" outlineLevel="1">
      <c r="A119" s="76" t="s">
        <v>108</v>
      </c>
      <c r="B119" s="38">
        <f>'2015-16'!L119</f>
        <v>-4373</v>
      </c>
      <c r="C119" s="24">
        <f>4373-3611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-3611</v>
      </c>
      <c r="M119" s="37"/>
    </row>
    <row r="120" spans="1:13" ht="12.75" hidden="1" outlineLevel="1">
      <c r="A120" s="76" t="s">
        <v>109</v>
      </c>
      <c r="B120" s="38">
        <f>'2015-16'!L120</f>
        <v>-5317.762</v>
      </c>
      <c r="C120" s="24">
        <f>-5424.117+5317.762</f>
        <v>-106.35500000000047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-5424.117</v>
      </c>
      <c r="M120" s="37"/>
    </row>
    <row r="121" spans="1:13" ht="12.75" hidden="1" outlineLevel="1">
      <c r="A121" s="80" t="s">
        <v>110</v>
      </c>
      <c r="B121" s="38">
        <f>'2015-16'!L121</f>
        <v>-11871.396</v>
      </c>
      <c r="C121" s="24">
        <f>-12164.321-B121</f>
        <v>-292.9249999999993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-12164.321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0.2760999999991327</v>
      </c>
      <c r="C125" s="24">
        <f t="shared" si="31"/>
        <v>1086.9309999999996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-383</v>
      </c>
      <c r="H125" s="24">
        <f t="shared" si="31"/>
        <v>-36</v>
      </c>
      <c r="I125" s="24">
        <f t="shared" si="31"/>
        <v>-648</v>
      </c>
      <c r="J125" s="24">
        <f t="shared" si="31"/>
        <v>-10</v>
      </c>
      <c r="K125" s="24">
        <f t="shared" si="31"/>
        <v>26</v>
      </c>
      <c r="L125" s="24">
        <f t="shared" si="31"/>
        <v>0.20709999999962747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4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E151" sqref="E151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6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7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-1072.2619999999988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0</v>
      </c>
      <c r="J5" s="26">
        <f t="shared" si="0"/>
        <v>-9</v>
      </c>
      <c r="K5" s="30">
        <f t="shared" si="0"/>
        <v>0</v>
      </c>
      <c r="L5" s="25">
        <f>+L7+L14+L20</f>
        <v>-1081.2619999999988</v>
      </c>
      <c r="M5" s="53">
        <f>+(L5-B5)/B5</f>
        <v>0.008393470998692493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1508.5030000000002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1499.5030000000002</v>
      </c>
      <c r="M7" s="55">
        <f aca="true" t="shared" si="2" ref="M7:M12">+(L7-B7)/B7</f>
        <v>-0.005966179715917038</v>
      </c>
    </row>
    <row r="8" spans="1:13" ht="12.75">
      <c r="A8" s="2" t="s">
        <v>43</v>
      </c>
      <c r="B8" s="12">
        <f>'2016-17'!L8</f>
        <v>-8.434000000000001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-17.434</v>
      </c>
      <c r="M8" s="56">
        <f t="shared" si="2"/>
        <v>1.0671093194213894</v>
      </c>
    </row>
    <row r="9" spans="1:13" ht="12.75">
      <c r="A9" s="2" t="s">
        <v>44</v>
      </c>
      <c r="B9" s="12">
        <f>'2016-17'!L9</f>
        <v>69.22500000000001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69.22500000000001</v>
      </c>
      <c r="M9" s="56">
        <f t="shared" si="2"/>
        <v>0</v>
      </c>
    </row>
    <row r="10" spans="1:13" ht="12.75">
      <c r="A10" s="2" t="s">
        <v>68</v>
      </c>
      <c r="B10" s="12">
        <f>'2016-17'!L10</f>
        <v>492.351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0</v>
      </c>
    </row>
    <row r="11" spans="1:13" ht="12.75">
      <c r="A11" s="2" t="s">
        <v>45</v>
      </c>
      <c r="B11" s="12">
        <f>'2016-17'!L11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'2016-17'!L12</f>
        <v>986.7350000000001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986.7350000000001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-5274.236999999999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</v>
      </c>
    </row>
    <row r="15" spans="1:13" ht="12.75">
      <c r="A15" s="4" t="s">
        <v>62</v>
      </c>
      <c r="B15" s="12">
        <f>'2016-17'!L15</f>
        <v>-6416.509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-6416.509</v>
      </c>
      <c r="M15" s="56">
        <f>+(L15-B15)/B15</f>
        <v>0</v>
      </c>
    </row>
    <row r="16" spans="1:13" ht="12.75">
      <c r="A16" s="4" t="s">
        <v>63</v>
      </c>
      <c r="B16" s="12">
        <f>'2016-17'!L16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'2016-17'!L17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'2016-17'!L18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2693.472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0</v>
      </c>
    </row>
    <row r="21" spans="1:13" ht="12.75">
      <c r="A21" s="3" t="s">
        <v>17</v>
      </c>
      <c r="B21" s="12">
        <f>'2016-17'!L21</f>
        <v>649.119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649.119</v>
      </c>
      <c r="M21" s="56">
        <f>+(L21-B21)/B21</f>
        <v>0</v>
      </c>
    </row>
    <row r="22" spans="1:13" ht="12.75">
      <c r="A22" s="3" t="s">
        <v>18</v>
      </c>
      <c r="B22" s="12">
        <f>'2016-17'!L22</f>
        <v>2811.228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2811.228</v>
      </c>
      <c r="M22" s="56">
        <f>+(L22-B22)/B22</f>
        <v>0</v>
      </c>
    </row>
    <row r="23" spans="1:13" ht="12.75">
      <c r="A23" s="3" t="s">
        <v>106</v>
      </c>
      <c r="B23" s="14">
        <f>'2016-17'!L23</f>
        <v>-766.875</v>
      </c>
      <c r="C23" s="33"/>
      <c r="D23" s="10"/>
      <c r="E23" s="33"/>
      <c r="F23" s="10"/>
      <c r="G23" s="39"/>
      <c r="H23" s="10"/>
      <c r="I23" s="33"/>
      <c r="J23" s="10"/>
      <c r="K23" s="33"/>
      <c r="L23" s="12">
        <f>+B23+SUM(C23:K23)</f>
        <v>-766.875</v>
      </c>
      <c r="M23" s="56">
        <f>+(L23-B23)/B23</f>
        <v>0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3931.4231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3668.4231</v>
      </c>
      <c r="M25" s="53">
        <f>+(L25-B25)/B25</f>
        <v>-0.06689689542700199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162.74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'2016-17'!L32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450.8961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455.8961</v>
      </c>
      <c r="M34" s="55">
        <f aca="true" t="shared" si="9" ref="M34:M39">+(L34-B34)/B34</f>
        <v>0.011089029157715048</v>
      </c>
    </row>
    <row r="35" spans="1:13" ht="12.75">
      <c r="A35" s="99" t="s">
        <v>94</v>
      </c>
      <c r="B35" s="12">
        <f>'2016-17'!L35</f>
        <v>-40.891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-40.891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47.184099999999994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47.184099999999994</v>
      </c>
      <c r="M38" s="56">
        <f t="shared" si="9"/>
        <v>0</v>
      </c>
    </row>
    <row r="39" spans="1:13" ht="12.75">
      <c r="A39" s="3" t="s">
        <v>77</v>
      </c>
      <c r="B39" s="12">
        <f>'2016-17'!L39</f>
        <v>149.91700000000003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154.91700000000003</v>
      </c>
      <c r="M39" s="56">
        <f t="shared" si="9"/>
        <v>0.0333517879893541</v>
      </c>
    </row>
    <row r="40" spans="1:14" ht="12.75">
      <c r="A40" s="20"/>
      <c r="B40" s="105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3253.957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2985.957</v>
      </c>
      <c r="M41" s="55">
        <f aca="true" t="shared" si="11" ref="M41:M46">+(L41-B41)/B41</f>
        <v>-0.08236126045918861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-228.683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-348.683</v>
      </c>
      <c r="M43" s="56">
        <f t="shared" si="11"/>
        <v>0.5247438594036287</v>
      </c>
    </row>
    <row r="44" spans="1:13" ht="12.75">
      <c r="A44" s="3" t="s">
        <v>19</v>
      </c>
      <c r="B44" s="12">
        <f>'2016-17'!L44</f>
        <v>1162.6609999999998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1124.6609999999998</v>
      </c>
      <c r="M44" s="56">
        <f t="shared" si="11"/>
        <v>-0.032683645533822844</v>
      </c>
    </row>
    <row r="45" spans="1:13" ht="12.75">
      <c r="A45" s="3" t="s">
        <v>53</v>
      </c>
      <c r="B45" s="12">
        <f>'2016-17'!L45</f>
        <v>2290.114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2180.114</v>
      </c>
      <c r="M45" s="56">
        <f t="shared" si="11"/>
        <v>-0.04803254335810357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107.488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'2016-17'!L52</f>
        <v>2.5869999999999997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2.5869999999999997</v>
      </c>
      <c r="M52" s="56">
        <f t="shared" si="13"/>
        <v>0</v>
      </c>
    </row>
    <row r="53" spans="1:13" ht="12.75">
      <c r="A53" s="20" t="s">
        <v>83</v>
      </c>
      <c r="B53" s="12">
        <f>'2016-17'!L53</f>
        <v>0.9280000000000115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0.9280000000000115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'2016-17'!L57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'2016-17'!L58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'2016-17'!L59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'2016-17'!L60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'2016-17'!L61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12290.399000000001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-540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11900.399000000001</v>
      </c>
      <c r="M63" s="53">
        <f>+(L63-B63)/B63</f>
        <v>-0.03173208615928579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2630.1859999999997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455.87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455.87</v>
      </c>
      <c r="M66" s="56">
        <f t="shared" si="19"/>
        <v>0</v>
      </c>
    </row>
    <row r="67" spans="1:13" ht="12.75">
      <c r="A67" s="2" t="s">
        <v>47</v>
      </c>
      <c r="B67" s="12">
        <f>'2016-17'!L67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'2016-17'!L68</f>
        <v>1356.747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1356.747</v>
      </c>
      <c r="M68" s="56">
        <f t="shared" si="19"/>
        <v>0</v>
      </c>
    </row>
    <row r="69" spans="1:13" ht="12.75">
      <c r="A69" s="2" t="s">
        <v>105</v>
      </c>
      <c r="B69" s="12">
        <f>'2016-17'!L69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'2016-17'!L70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2258.166000000001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1868.166000000001</v>
      </c>
      <c r="M72" s="55">
        <f aca="true" t="shared" si="21" ref="M72:M84">+(L72-B72)/B72</f>
        <v>-0.1727065237896593</v>
      </c>
    </row>
    <row r="73" spans="1:13" ht="12.75">
      <c r="A73" s="21" t="s">
        <v>86</v>
      </c>
      <c r="B73" s="12">
        <f>'2016-17'!L73</f>
        <v>-2193.289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-2193.289</v>
      </c>
      <c r="M73" s="56">
        <f t="shared" si="21"/>
        <v>0</v>
      </c>
    </row>
    <row r="74" spans="1:13" ht="12.75">
      <c r="A74" s="21" t="s">
        <v>87</v>
      </c>
      <c r="B74" s="12">
        <f>'2016-17'!L74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-4317.119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-4727.119</v>
      </c>
      <c r="M75" s="56">
        <f t="shared" si="21"/>
        <v>0.09497074322018921</v>
      </c>
    </row>
    <row r="76" spans="1:13" ht="12.75">
      <c r="A76" s="21" t="s">
        <v>21</v>
      </c>
      <c r="B76" s="12">
        <f>'2016-17'!L76</f>
        <v>3435.233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3419.233</v>
      </c>
      <c r="M76" s="56">
        <f t="shared" si="21"/>
        <v>-0.004657617110687979</v>
      </c>
    </row>
    <row r="77" spans="1:13" ht="12.75">
      <c r="A77" s="21" t="s">
        <v>88</v>
      </c>
      <c r="B77" s="12">
        <f>'2016-17'!L77</f>
        <v>-1360.399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-1360.399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-176.066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-163.066</v>
      </c>
      <c r="M78" s="56">
        <f t="shared" si="21"/>
        <v>-0.07383594788318017</v>
      </c>
    </row>
    <row r="79" spans="1:13" ht="12.75">
      <c r="A79" s="21" t="s">
        <v>22</v>
      </c>
      <c r="B79" s="12">
        <f>'2016-17'!L79</f>
        <v>4043.024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4045.024</v>
      </c>
      <c r="M79" s="56">
        <f t="shared" si="21"/>
        <v>0.0004946792301999692</v>
      </c>
    </row>
    <row r="80" spans="1:13" ht="12.75">
      <c r="A80" s="21" t="s">
        <v>65</v>
      </c>
      <c r="B80" s="12">
        <f>'2016-17'!L80</f>
        <v>-4.563000000000017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38.43699999999998</v>
      </c>
      <c r="M80" s="56">
        <f t="shared" si="21"/>
        <v>-9.423624808240158</v>
      </c>
    </row>
    <row r="81" spans="1:13" ht="12.75">
      <c r="A81" s="21" t="s">
        <v>23</v>
      </c>
      <c r="B81" s="12">
        <f>'2016-17'!L81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2335.934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2185.934</v>
      </c>
      <c r="M83" s="56">
        <f t="shared" si="21"/>
        <v>-0.06421414303657551</v>
      </c>
    </row>
    <row r="84" spans="1:13" ht="12.75" customHeight="1">
      <c r="A84" s="21" t="s">
        <v>25</v>
      </c>
      <c r="B84" s="12">
        <f>'2016-17'!L84</f>
        <v>1229.516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1357.516</v>
      </c>
      <c r="M84" s="56">
        <f t="shared" si="21"/>
        <v>0.10410600594054896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7083.393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0</v>
      </c>
    </row>
    <row r="87" spans="1:13" ht="12.75">
      <c r="A87" s="4" t="s">
        <v>55</v>
      </c>
      <c r="B87" s="12">
        <f>'2016-17'!L87</f>
        <v>1517.8690000000001</v>
      </c>
      <c r="C87" s="39"/>
      <c r="D87" s="15"/>
      <c r="E87" s="39"/>
      <c r="F87" s="15"/>
      <c r="G87" s="39"/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0</v>
      </c>
    </row>
    <row r="88" spans="1:13" ht="12.75">
      <c r="A88" s="4" t="s">
        <v>72</v>
      </c>
      <c r="B88" s="12">
        <f>'2016-17'!L88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'2016-17'!L89</f>
        <v>203.32500000000002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203.32500000000002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'2016-17'!L93</f>
        <v>1662.0739999999998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1662.0739999999998</v>
      </c>
      <c r="M93" s="56">
        <f t="shared" si="24"/>
        <v>0</v>
      </c>
    </row>
    <row r="94" spans="1:13" ht="12.75">
      <c r="A94" s="101" t="s">
        <v>90</v>
      </c>
      <c r="B94" s="12">
        <f>'2016-17'!L94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2">
        <f>'2016-17'!L95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2">
        <f>'2016-17'!L96</f>
        <v>383.474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318.65400000000005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318.65400000000005</v>
      </c>
      <c r="M98" s="55">
        <f>+(L98-B98)/B98</f>
        <v>0</v>
      </c>
    </row>
    <row r="99" spans="1:13" ht="12.75">
      <c r="A99" s="20" t="s">
        <v>14</v>
      </c>
      <c r="B99" s="12">
        <f>'2016-17'!L99</f>
        <v>-43.361999999999995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-43.361999999999995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411.663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411.663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-49.64699999999999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-49.64699999999999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15149.560100000002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-660</v>
      </c>
      <c r="H103" s="63">
        <f t="shared" si="27"/>
        <v>-38</v>
      </c>
      <c r="I103" s="60">
        <f t="shared" si="27"/>
        <v>-16</v>
      </c>
      <c r="J103" s="63">
        <f t="shared" si="27"/>
        <v>-9</v>
      </c>
      <c r="K103" s="60">
        <f t="shared" si="27"/>
        <v>0</v>
      </c>
      <c r="L103" s="64">
        <f t="shared" si="27"/>
        <v>14487.560100000002</v>
      </c>
      <c r="M103" s="61">
        <f>+(L103-B103)/B103</f>
        <v>-0.0436976384548618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-155.95600000000013</v>
      </c>
      <c r="C106" s="24">
        <f>-1500.826-B106+159+305.844+300</f>
        <v>-580.0259999999998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-735.982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6051.869</v>
      </c>
      <c r="C108" s="24">
        <f>6940.694-B108</f>
        <v>888.8250000000007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6940.694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21045.473100000003</v>
      </c>
      <c r="C110" s="47">
        <f t="shared" si="28"/>
        <v>308.7990000000009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-660</v>
      </c>
      <c r="H110" s="47">
        <f t="shared" si="28"/>
        <v>-38</v>
      </c>
      <c r="I110" s="47">
        <f t="shared" si="28"/>
        <v>-16</v>
      </c>
      <c r="J110" s="47">
        <f t="shared" si="28"/>
        <v>-9</v>
      </c>
      <c r="K110" s="47">
        <f t="shared" si="28"/>
        <v>0</v>
      </c>
      <c r="L110" s="47">
        <f t="shared" si="28"/>
        <v>20692.272100000002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21045.473100000003</v>
      </c>
      <c r="C115" s="47">
        <f>+SUM(C110,C113)</f>
        <v>308.7990000000009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-660</v>
      </c>
      <c r="H115" s="47">
        <f t="shared" si="29"/>
        <v>-38</v>
      </c>
      <c r="I115" s="47">
        <f t="shared" si="29"/>
        <v>-16</v>
      </c>
      <c r="J115" s="47">
        <f t="shared" si="29"/>
        <v>-9</v>
      </c>
      <c r="K115" s="47">
        <f t="shared" si="29"/>
        <v>0</v>
      </c>
      <c r="L115" s="47">
        <f t="shared" si="29"/>
        <v>20692.272100000002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-21045.266000000003</v>
      </c>
      <c r="C118" s="47">
        <f aca="true" t="shared" si="30" ref="C118:L118">+SUM(C119:C122)</f>
        <v>353.26900000000023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-20691.997000000003</v>
      </c>
      <c r="M118" s="37"/>
    </row>
    <row r="119" spans="1:13" ht="12.75" hidden="1" outlineLevel="1">
      <c r="A119" s="76" t="s">
        <v>108</v>
      </c>
      <c r="B119" s="38">
        <f>'2016-17'!L119</f>
        <v>-3611</v>
      </c>
      <c r="C119" s="24">
        <f>-2849+3611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-2849</v>
      </c>
      <c r="M119" s="37"/>
    </row>
    <row r="120" spans="1:13" ht="12.75" hidden="1" outlineLevel="1">
      <c r="A120" s="76" t="s">
        <v>109</v>
      </c>
      <c r="B120" s="38">
        <f>'2016-17'!L120</f>
        <v>-5424.117</v>
      </c>
      <c r="C120" s="24">
        <f>-5532.6+5424.117</f>
        <v>-108.48300000000017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-5532.6</v>
      </c>
      <c r="M120" s="37"/>
    </row>
    <row r="121" spans="1:13" ht="12.75" hidden="1" outlineLevel="1">
      <c r="A121" s="80" t="s">
        <v>110</v>
      </c>
      <c r="B121" s="38">
        <f>'2016-17'!L121</f>
        <v>-12164.321</v>
      </c>
      <c r="C121" s="24">
        <f>-12464.569+12164.321</f>
        <v>-300.2479999999996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-12464.569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0.20709999999962747</v>
      </c>
      <c r="C125" s="24">
        <f t="shared" si="31"/>
        <v>662.0680000000011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-660</v>
      </c>
      <c r="H125" s="24">
        <f t="shared" si="31"/>
        <v>-38</v>
      </c>
      <c r="I125" s="24">
        <f t="shared" si="31"/>
        <v>-16</v>
      </c>
      <c r="J125" s="24">
        <f t="shared" si="31"/>
        <v>-9</v>
      </c>
      <c r="K125" s="24">
        <f t="shared" si="31"/>
        <v>0</v>
      </c>
      <c r="L125" s="24">
        <f t="shared" si="31"/>
        <v>0.275099999998929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Appendix 2C - FINAL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2013-12-03T14:46:34Z</cp:lastPrinted>
  <dcterms:created xsi:type="dcterms:W3CDTF">2010-08-23T10:49:01Z</dcterms:created>
  <dcterms:modified xsi:type="dcterms:W3CDTF">2013-12-03T16:25:52Z</dcterms:modified>
  <cp:category/>
  <cp:version/>
  <cp:contentType/>
  <cp:contentStatus/>
</cp:coreProperties>
</file>